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showInkAnnotation="0" codeName="ThisWorkbook" defaultThemeVersion="124226"/>
  <xr:revisionPtr revIDLastSave="0" documentId="8_{598BF5B0-8A24-4BC6-A874-859A8B9B5575}" xr6:coauthVersionLast="45" xr6:coauthVersionMax="45" xr10:uidLastSave="{00000000-0000-0000-0000-000000000000}"/>
  <bookViews>
    <workbookView xWindow="-28920" yWindow="-2985" windowWidth="29040" windowHeight="15840" tabRatio="870" xr2:uid="{00000000-000D-0000-FFFF-FFFF00000000}"/>
  </bookViews>
  <sheets>
    <sheet name="General" sheetId="1" r:id="rId1"/>
    <sheet name="Input Instructions" sheetId="90" r:id="rId2"/>
    <sheet name="Detailed Notes and Explanations" sheetId="91" r:id="rId3"/>
    <sheet name="Input Summary" sheetId="35" r:id="rId4"/>
    <sheet name="Input Template" sheetId="87" r:id="rId5"/>
    <sheet name="Grid Electricity" sheetId="61" r:id="rId6"/>
    <sheet name="User Defined Factors" sheetId="62" r:id="rId7"/>
    <sheet name="Well Material Calculator" sheetId="64" r:id="rId8"/>
    <sheet name="Lookup" sheetId="30" r:id="rId9"/>
  </sheets>
  <externalReferences>
    <externalReference r:id="rId10"/>
  </externalReferences>
  <definedNames>
    <definedName name="Acid" localSheetId="2">#REF!</definedName>
    <definedName name="Acid" localSheetId="1">#REF!</definedName>
    <definedName name="Acid">'Input Summary'!$C$66:$V$66</definedName>
    <definedName name="Asphalt" localSheetId="2">#REF!</definedName>
    <definedName name="Asphalt" localSheetId="1">#REF!</definedName>
    <definedName name="Asphalt">'Input Summary'!#REF!</definedName>
    <definedName name="Borrow" localSheetId="2">#REF!</definedName>
    <definedName name="Borrow" localSheetId="1">#REF!</definedName>
    <definedName name="Borrow">'Input Summary'!#REF!</definedName>
    <definedName name="Cement" localSheetId="2">#REF!</definedName>
    <definedName name="Cement" localSheetId="1">#REF!</definedName>
    <definedName name="Cement">'Input Summary'!#REF!</definedName>
    <definedName name="Clay" localSheetId="2">#REF!</definedName>
    <definedName name="Clay" localSheetId="1">#REF!</definedName>
    <definedName name="Clay">'Input Summary'!#REF!</definedName>
    <definedName name="Concrete" localSheetId="2">#REF!</definedName>
    <definedName name="Concrete" localSheetId="1">#REF!</definedName>
    <definedName name="Concrete">'Input Summary'!#REF!</definedName>
    <definedName name="Diesel_Off" localSheetId="2">#REF!</definedName>
    <definedName name="Diesel_Off" localSheetId="1">#REF!</definedName>
    <definedName name="Diesel_Off">'Input Summary'!$C$36:$V$36</definedName>
    <definedName name="Elec_Use" localSheetId="2">#REF!</definedName>
    <definedName name="Elec_Use" localSheetId="1">#REF!</definedName>
    <definedName name="Elec_Use">'Input Summary'!#REF!</definedName>
    <definedName name="equipment" localSheetId="2">#REF!</definedName>
    <definedName name="equipment" localSheetId="1">#REF!</definedName>
    <definedName name="equipment" localSheetId="6">[1]Lookup!$I$11:$I$39</definedName>
    <definedName name="equipment">Lookup!$I$11:$I$39</definedName>
    <definedName name="EVO" localSheetId="2">#REF!</definedName>
    <definedName name="EVO" localSheetId="1">#REF!</definedName>
    <definedName name="EVO">'Input Summary'!#REF!</definedName>
    <definedName name="fuel_eu" localSheetId="2">#REF!</definedName>
    <definedName name="fuel_eu" localSheetId="1">#REF!</definedName>
    <definedName name="fuel_eu" localSheetId="6">[1]Lookup!$A$31:$A$34</definedName>
    <definedName name="fuel_eu">Lookup!$A$30:$A$35</definedName>
    <definedName name="fuel_mt" localSheetId="2">#REF!</definedName>
    <definedName name="fuel_mt" localSheetId="1">#REF!</definedName>
    <definedName name="fuel_mt" localSheetId="6">[1]Lookup!$I$48:$K$48</definedName>
    <definedName name="fuel_mt">Lookup!$I$48:$K$48</definedName>
    <definedName name="fuel_pt" localSheetId="2">#REF!</definedName>
    <definedName name="fuel_pt" localSheetId="1">#REF!</definedName>
    <definedName name="fuel_pt" localSheetId="6">[1]Lookup!$B$9:$G$9</definedName>
    <definedName name="fuel_pt">Lookup!#REF!</definedName>
    <definedName name="GAC_coco" localSheetId="2">#REF!</definedName>
    <definedName name="GAC_coco" localSheetId="1">#REF!</definedName>
    <definedName name="GAC_coco">'Input Summary'!$C$43:$V$43</definedName>
    <definedName name="GAC_R" localSheetId="2">#REF!</definedName>
    <definedName name="GAC_R" localSheetId="1">#REF!</definedName>
    <definedName name="GAC_R">'Input Summary'!#REF!</definedName>
    <definedName name="GAC_V" localSheetId="2">#REF!</definedName>
    <definedName name="GAC_V" localSheetId="1">#REF!</definedName>
    <definedName name="GAC_V">'Input Summary'!$C$42:$V$42</definedName>
    <definedName name="Gas_Off" localSheetId="2">#REF!</definedName>
    <definedName name="Gas_Off" localSheetId="1">#REF!</definedName>
    <definedName name="Gas_Off">'Input Summary'!$C$34:$V$34</definedName>
    <definedName name="GHG_Emis" localSheetId="2">#REF!</definedName>
    <definedName name="GHG_Emis" localSheetId="1">#REF!</definedName>
    <definedName name="GHG_Emis">'Input Summary'!$C$105:$V$105</definedName>
    <definedName name="GHG_Seq" localSheetId="2">#REF!</definedName>
    <definedName name="GHG_Seq" localSheetId="1">#REF!</definedName>
    <definedName name="GHG_Seq">'Input Summary'!$C$106:$V$106</definedName>
    <definedName name="H2O2" localSheetId="2">#REF!</definedName>
    <definedName name="H2O2" localSheetId="1">#REF!</definedName>
    <definedName name="H2O2">'Input Summary'!$C$67:$V$67</definedName>
    <definedName name="HAP_Emis" localSheetId="2">#REF!</definedName>
    <definedName name="HAP_Emis" localSheetId="1">#REF!</definedName>
    <definedName name="HAP_Emis">'Input Summary'!$C$104:$V$104</definedName>
    <definedName name="HDPE" localSheetId="2">#REF!</definedName>
    <definedName name="HDPE" localSheetId="1">#REF!</definedName>
    <definedName name="HDPE">'Input Summary'!$C$65:$V$65</definedName>
    <definedName name="heavyhours" localSheetId="2">#REF!</definedName>
    <definedName name="heavyhours" localSheetId="1">#REF!</definedName>
    <definedName name="heavyhours">'Input Summary'!#REF!</definedName>
    <definedName name="heavymiles" localSheetId="2">#REF!</definedName>
    <definedName name="heavymiles" localSheetId="1">#REF!</definedName>
    <definedName name="heavymiles">'Input Summary'!#REF!</definedName>
    <definedName name="hours" localSheetId="2">#REF!</definedName>
    <definedName name="hours" localSheetId="1">#REF!</definedName>
    <definedName name="hours">'Input Summary'!#REF!</definedName>
    <definedName name="KMnO4" localSheetId="2">#REF!</definedName>
    <definedName name="KMnO4" localSheetId="1">#REF!</definedName>
    <definedName name="KMnO4">'Input Summary'!$C$86:$V$86</definedName>
    <definedName name="level" localSheetId="2">#REF!</definedName>
    <definedName name="level" localSheetId="1">#REF!</definedName>
    <definedName name="level">'Input Summary'!$C$4:$V$4</definedName>
    <definedName name="levels" localSheetId="2">#REF!</definedName>
    <definedName name="levels" localSheetId="1">#REF!</definedName>
    <definedName name="levels">#REF!</definedName>
    <definedName name="Lime" localSheetId="2">#REF!</definedName>
    <definedName name="Lime" localSheetId="1">#REF!</definedName>
    <definedName name="Lime">'Input Summary'!$C$69:$V$69</definedName>
    <definedName name="material" localSheetId="2">#REF!</definedName>
    <definedName name="material" localSheetId="1">#REF!</definedName>
    <definedName name="material" localSheetId="6">[1]Lookup!$A$49:$A$88</definedName>
    <definedName name="material">Lookup!$A$49:$A$103</definedName>
    <definedName name="materialsmiles" localSheetId="2">#REF!</definedName>
    <definedName name="materialsmiles" localSheetId="1">#REF!</definedName>
    <definedName name="materialsmiles">'Input Summary'!#REF!</definedName>
    <definedName name="materialstrips" localSheetId="2">#REF!</definedName>
    <definedName name="materialstrips" localSheetId="1">#REF!</definedName>
    <definedName name="materialstrips">'Input Summary'!#REF!</definedName>
    <definedName name="mode" localSheetId="2">#REF!</definedName>
    <definedName name="mode" localSheetId="1">#REF!</definedName>
    <definedName name="mode" localSheetId="6">[1]Lookup!$A$11:$A$17</definedName>
    <definedName name="mode">Lookup!$A$11:$A$16</definedName>
    <definedName name="modem" localSheetId="2">#REF!</definedName>
    <definedName name="modem" localSheetId="1">#REF!</definedName>
    <definedName name="modem" localSheetId="6">[1]Lookup!$H$50:$H$54</definedName>
    <definedName name="modem">Lookup!$H$50:$H$55</definedName>
    <definedName name="Molasses" localSheetId="2">#REF!</definedName>
    <definedName name="Molasses" localSheetId="1">#REF!</definedName>
    <definedName name="Molasses">'Input Summary'!$C$70:$V$70</definedName>
    <definedName name="N_Fert" localSheetId="2">#REF!</definedName>
    <definedName name="N_Fert" localSheetId="1">#REF!</definedName>
    <definedName name="N_Fert">'Input Summary'!$C$78:$V$78</definedName>
    <definedName name="NaOH" localSheetId="2">#REF!</definedName>
    <definedName name="NaOH" localSheetId="1">#REF!</definedName>
    <definedName name="NaOH">'Input Summary'!#REF!</definedName>
    <definedName name="NG" localSheetId="2">#REF!</definedName>
    <definedName name="NG" localSheetId="1">#REF!</definedName>
    <definedName name="NG">'Input Summary'!#REF!</definedName>
    <definedName name="offsiteB20" localSheetId="2">#REF!</definedName>
    <definedName name="offsiteB20" localSheetId="1">#REF!</definedName>
    <definedName name="offsiteB20">'Input Summary'!$C$37:$V$37</definedName>
    <definedName name="offsiteE85" localSheetId="2">#REF!</definedName>
    <definedName name="offsiteE85" localSheetId="1">#REF!</definedName>
    <definedName name="offsiteE85">'Input Summary'!$C$35:$V$35</definedName>
    <definedName name="onsiteB20" localSheetId="2">#REF!</definedName>
    <definedName name="onsiteB20" localSheetId="1">#REF!</definedName>
    <definedName name="onsiteB20">'Input Summary'!$C$11:$V$11</definedName>
    <definedName name="onsiteE85" localSheetId="2">#REF!</definedName>
    <definedName name="onsiteE85" localSheetId="1">#REF!</definedName>
    <definedName name="onsiteE85">'Input Summary'!$C$10:$V$10</definedName>
    <definedName name="Other1" localSheetId="2">#REF!</definedName>
    <definedName name="Other1" localSheetId="1">#REF!</definedName>
    <definedName name="Other1">'Input Summary'!$C$80:$V$80</definedName>
    <definedName name="Other2" localSheetId="2">#REF!</definedName>
    <definedName name="Other2" localSheetId="1">#REF!</definedName>
    <definedName name="Other2">'Input Summary'!$C$81:$V$81</definedName>
    <definedName name="Other3" localSheetId="2">#REF!</definedName>
    <definedName name="Other3" localSheetId="1">#REF!</definedName>
    <definedName name="Other3">'Input Summary'!$C$82:$V$82</definedName>
    <definedName name="Other4" localSheetId="2">#REF!</definedName>
    <definedName name="Other4" localSheetId="1">#REF!</definedName>
    <definedName name="Other4">'Input Summary'!#REF!</definedName>
    <definedName name="Other5" localSheetId="2">#REF!</definedName>
    <definedName name="Other5" localSheetId="1">#REF!</definedName>
    <definedName name="Other5">'Input Summary'!#REF!</definedName>
    <definedName name="P_Fert" localSheetId="2">#REF!</definedName>
    <definedName name="P_Fert" localSheetId="1">#REF!</definedName>
    <definedName name="P_Fert">'Input Summary'!$C$83:$V$83</definedName>
    <definedName name="passengermiles" localSheetId="2">#REF!</definedName>
    <definedName name="passengermiles" localSheetId="1">#REF!</definedName>
    <definedName name="passengermiles">'Input Summary'!#REF!</definedName>
    <definedName name="passengertrips" localSheetId="2">#REF!</definedName>
    <definedName name="passengertrips" localSheetId="1">#REF!</definedName>
    <definedName name="passengertrips">'Input Summary'!#REF!</definedName>
    <definedName name="Polymer" localSheetId="2">#REF!</definedName>
    <definedName name="Polymer" localSheetId="1">#REF!</definedName>
    <definedName name="Polymer">'Input Summary'!$C$84:$V$84</definedName>
    <definedName name="potwatertrans" localSheetId="2">#REF!</definedName>
    <definedName name="potwatertrans" localSheetId="1">#REF!</definedName>
    <definedName name="potwatertrans">'Input Summary'!$C$85:$V$85</definedName>
    <definedName name="_xlnm.Print_Area" localSheetId="0">General!$A$1:$H$56</definedName>
    <definedName name="_xlnm.Print_Area" localSheetId="3">'Input Summary'!$A$1:$W$225</definedName>
    <definedName name="_xlnm.Print_Area" localSheetId="4">'Input Template'!$A$1:$V$182</definedName>
    <definedName name="_xlnm.Print_Area" localSheetId="8">Lookup!$A$1:$L$95</definedName>
    <definedName name="_xlnm.Print_Area" localSheetId="6">'User Defined Factors'!$A$1:$T$176</definedName>
    <definedName name="_xlnm.Print_Area" localSheetId="7">'Well Material Calculator'!$A$1:$AS$35</definedName>
    <definedName name="_xlnm.Print_Titles" localSheetId="3">'Input Summary'!$1:$6</definedName>
    <definedName name="_xlnm.Print_Titles" localSheetId="4">'Input Template'!$1:$3</definedName>
    <definedName name="PV" localSheetId="2">#REF!</definedName>
    <definedName name="PV" localSheetId="1">#REF!</definedName>
    <definedName name="PV">'Input Summary'!$C$13:$V$13</definedName>
    <definedName name="PVC" localSheetId="2">#REF!</definedName>
    <definedName name="PVC" localSheetId="1">#REF!</definedName>
    <definedName name="PVC">'Input Summary'!$C$87:$V$87</definedName>
    <definedName name="RECs" localSheetId="2">#REF!</definedName>
    <definedName name="RECs" localSheetId="1">#REF!</definedName>
    <definedName name="RECs">'Input Summary'!#REF!</definedName>
    <definedName name="S_Steel" localSheetId="2">#REF!</definedName>
    <definedName name="S_Steel" localSheetId="1">#REF!</definedName>
    <definedName name="S_Steel">'Input Summary'!#REF!</definedName>
    <definedName name="Sand" localSheetId="2">#REF!</definedName>
    <definedName name="Sand" localSheetId="1">#REF!</definedName>
    <definedName name="Sand">'Input Summary'!$C$49:$V$49</definedName>
    <definedName name="Seed" localSheetId="2">#REF!</definedName>
    <definedName name="Seed" localSheetId="1">#REF!</definedName>
    <definedName name="Seed">'Input Summary'!$C$68:$V$68</definedName>
    <definedName name="Sequester" localSheetId="2">#REF!</definedName>
    <definedName name="Sequester" localSheetId="1">#REF!</definedName>
    <definedName name="Sequester">'Input Summary'!#REF!</definedName>
    <definedName name="Steel" localSheetId="2">#REF!</definedName>
    <definedName name="Steel" localSheetId="1">#REF!</definedName>
    <definedName name="Steel">'Input Summary'!#REF!</definedName>
    <definedName name="trips" localSheetId="2">#REF!</definedName>
    <definedName name="trips" localSheetId="1">#REF!</definedName>
    <definedName name="trips">'Input Summary'!#REF!</definedName>
    <definedName name="waste" localSheetId="2">#REF!</definedName>
    <definedName name="waste" localSheetId="1">#REF!</definedName>
    <definedName name="waste" localSheetId="6">[1]Lookup!$H$66:$H$71</definedName>
    <definedName name="waste">Lookup!$H$72:$H$79</definedName>
    <definedName name="wastemiles" localSheetId="2">#REF!</definedName>
    <definedName name="wastemiles" localSheetId="1">#REF!</definedName>
    <definedName name="wastemiles">'Input Summary'!#REF!</definedName>
    <definedName name="wastetrips" localSheetId="2">#REF!</definedName>
    <definedName name="wastetrips" localSheetId="1">#REF!</definedName>
    <definedName name="wastetrips">'Input Summary'!#REF!</definedName>
    <definedName name="Whey" localSheetId="2">#REF!</definedName>
    <definedName name="Whey" localSheetId="1">#REF!</definedName>
    <definedName name="Whey">'Input 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87" l="1"/>
  <c r="F220" i="87" s="1"/>
  <c r="P89" i="87" l="1"/>
  <c r="P90" i="87"/>
  <c r="P91" i="87"/>
  <c r="M107" i="87" l="1"/>
  <c r="M108" i="87"/>
  <c r="M109" i="87"/>
  <c r="M110" i="87"/>
  <c r="M111" i="87"/>
  <c r="M112" i="87"/>
  <c r="M113" i="87"/>
  <c r="M114" i="87"/>
  <c r="M115" i="87"/>
  <c r="M116" i="87"/>
  <c r="M105" i="87"/>
  <c r="P75" i="87"/>
  <c r="P80" i="87"/>
  <c r="P81" i="87"/>
  <c r="P82" i="87"/>
  <c r="P83" i="87"/>
  <c r="P84" i="87"/>
  <c r="P85" i="87"/>
  <c r="P86" i="87"/>
  <c r="P87" i="87"/>
  <c r="P88" i="87"/>
  <c r="F39" i="87"/>
  <c r="H39" i="87" s="1"/>
  <c r="F40" i="87"/>
  <c r="H40" i="87" s="1"/>
  <c r="E132" i="87"/>
  <c r="E133" i="87"/>
  <c r="E134" i="87"/>
  <c r="F309" i="87" l="1"/>
  <c r="F308" i="87"/>
  <c r="E61" i="30"/>
  <c r="E81" i="30"/>
  <c r="E80" i="30"/>
  <c r="E79" i="30"/>
  <c r="E78" i="30"/>
  <c r="E77" i="30"/>
  <c r="E76" i="30"/>
  <c r="E75" i="30"/>
  <c r="E74" i="30"/>
  <c r="E73" i="30"/>
  <c r="E72" i="30"/>
  <c r="E71" i="30"/>
  <c r="E70" i="30"/>
  <c r="E67" i="30"/>
  <c r="E66" i="30"/>
  <c r="E65" i="30"/>
  <c r="E62" i="30"/>
  <c r="E60" i="30"/>
  <c r="E59" i="30"/>
  <c r="E58" i="30"/>
  <c r="E55" i="30"/>
  <c r="E54" i="30"/>
  <c r="E53" i="30"/>
  <c r="C38" i="30"/>
  <c r="E13" i="30"/>
  <c r="F14" i="30"/>
  <c r="D14" i="30"/>
  <c r="O32" i="87"/>
  <c r="O31" i="87"/>
  <c r="I19" i="87" l="1"/>
  <c r="I20" i="87"/>
  <c r="I21" i="87"/>
  <c r="I16" i="87"/>
  <c r="B101" i="87" l="1"/>
  <c r="B49" i="87"/>
  <c r="B150" i="35"/>
  <c r="B149" i="35"/>
  <c r="A150" i="35"/>
  <c r="A149" i="35"/>
  <c r="A357" i="87"/>
  <c r="A356" i="87"/>
  <c r="F357" i="87"/>
  <c r="F356" i="87"/>
  <c r="I99" i="30"/>
  <c r="J99" i="30"/>
  <c r="I98" i="30"/>
  <c r="J98" i="30"/>
  <c r="H99" i="30"/>
  <c r="H98" i="30"/>
  <c r="I58" i="30"/>
  <c r="J58" i="30"/>
  <c r="K58" i="30"/>
  <c r="I59" i="30"/>
  <c r="J59" i="30"/>
  <c r="K59" i="30"/>
  <c r="I60" i="30"/>
  <c r="J60" i="30"/>
  <c r="K60" i="30"/>
  <c r="I61" i="30"/>
  <c r="J61" i="30"/>
  <c r="K61" i="30"/>
  <c r="J57" i="30"/>
  <c r="K57" i="30"/>
  <c r="I57" i="30"/>
  <c r="B18" i="30"/>
  <c r="H61" i="30"/>
  <c r="H60" i="30"/>
  <c r="H59" i="30"/>
  <c r="H58" i="30"/>
  <c r="H57" i="30"/>
  <c r="A18" i="30"/>
  <c r="G19" i="30"/>
  <c r="G20" i="30"/>
  <c r="G21" i="30"/>
  <c r="G22" i="30"/>
  <c r="G18" i="30"/>
  <c r="F18" i="30"/>
  <c r="F19" i="30"/>
  <c r="F20" i="30"/>
  <c r="F21" i="30"/>
  <c r="F22" i="30"/>
  <c r="E18" i="30"/>
  <c r="E19" i="30"/>
  <c r="E20" i="30"/>
  <c r="E21" i="30"/>
  <c r="E22" i="30"/>
  <c r="D18" i="30"/>
  <c r="D19" i="30"/>
  <c r="D20" i="30"/>
  <c r="D21" i="30"/>
  <c r="D22" i="30"/>
  <c r="C18" i="30"/>
  <c r="C19" i="30"/>
  <c r="C20" i="30"/>
  <c r="C21" i="30"/>
  <c r="C22" i="30"/>
  <c r="B19" i="30"/>
  <c r="B20" i="30"/>
  <c r="B21" i="30"/>
  <c r="B22" i="30"/>
  <c r="A22" i="30"/>
  <c r="A21" i="30"/>
  <c r="A20" i="30"/>
  <c r="A19" i="30"/>
  <c r="C133" i="87" l="1"/>
  <c r="C131" i="87"/>
  <c r="C132" i="87"/>
  <c r="C134" i="87"/>
  <c r="M106" i="87"/>
  <c r="P77" i="87"/>
  <c r="P78" i="87"/>
  <c r="P79" i="87"/>
  <c r="I22" i="87"/>
  <c r="I23" i="87"/>
  <c r="I24" i="87"/>
  <c r="O37" i="87"/>
  <c r="O38" i="87"/>
  <c r="F360" i="87"/>
  <c r="J72" i="30"/>
  <c r="H17" i="87" l="1"/>
  <c r="H18" i="87"/>
  <c r="H19" i="87"/>
  <c r="H20" i="87"/>
  <c r="H21" i="87"/>
  <c r="H22" i="87"/>
  <c r="H23" i="87"/>
  <c r="H24" i="87"/>
  <c r="H25" i="87"/>
  <c r="H26" i="87"/>
  <c r="H16" i="87"/>
  <c r="L31" i="87"/>
  <c r="C34" i="30" l="1"/>
  <c r="C35" i="30"/>
  <c r="C36" i="30"/>
  <c r="C32" i="30" l="1"/>
  <c r="K22" i="87" l="1"/>
  <c r="K23" i="87"/>
  <c r="F257" i="87" s="1"/>
  <c r="K24" i="87"/>
  <c r="F382" i="87" l="1"/>
  <c r="F381" i="87"/>
  <c r="F380" i="87"/>
  <c r="F379" i="87"/>
  <c r="F378" i="87"/>
  <c r="F377" i="87"/>
  <c r="F376" i="87"/>
  <c r="F375" i="87"/>
  <c r="F374" i="87"/>
  <c r="F373" i="87"/>
  <c r="F372" i="87"/>
  <c r="F362" i="87"/>
  <c r="F282" i="87"/>
  <c r="F279" i="87"/>
  <c r="F269" i="87"/>
  <c r="F259" i="87"/>
  <c r="F278" i="87" l="1"/>
  <c r="F234" i="87"/>
  <c r="F236" i="87"/>
  <c r="F38" i="87"/>
  <c r="F37" i="87"/>
  <c r="F281" i="87"/>
  <c r="L39" i="87"/>
  <c r="L40" i="87"/>
  <c r="K25" i="87"/>
  <c r="G67" i="87" s="1"/>
  <c r="K26" i="87"/>
  <c r="F276" i="87"/>
  <c r="F299" i="87"/>
  <c r="F300" i="87"/>
  <c r="F301" i="87"/>
  <c r="F302" i="87"/>
  <c r="F303" i="87"/>
  <c r="F304" i="87"/>
  <c r="F305" i="87"/>
  <c r="F306" i="87"/>
  <c r="F307" i="87"/>
  <c r="F310" i="87"/>
  <c r="F311" i="87"/>
  <c r="F312" i="87"/>
  <c r="F313" i="87"/>
  <c r="F314" i="87"/>
  <c r="F315" i="87"/>
  <c r="F316" i="87"/>
  <c r="Q39" i="87" l="1"/>
  <c r="Q40" i="87"/>
  <c r="L32" i="87"/>
  <c r="L33" i="87"/>
  <c r="L34" i="87"/>
  <c r="L35" i="87"/>
  <c r="L36" i="87"/>
  <c r="L37" i="87"/>
  <c r="L38" i="87"/>
  <c r="F288" i="87"/>
  <c r="Q66" i="87"/>
  <c r="Q64" i="87"/>
  <c r="Q38" i="87" l="1"/>
  <c r="Q37" i="87"/>
  <c r="Q31" i="87"/>
  <c r="Q32" i="87"/>
  <c r="Q65" i="87" l="1"/>
  <c r="H180" i="35"/>
  <c r="G122" i="35"/>
  <c r="H68" i="35"/>
  <c r="G148" i="35"/>
  <c r="F219" i="35"/>
  <c r="M56" i="35"/>
  <c r="F22" i="35"/>
  <c r="K198" i="35"/>
  <c r="H82" i="35"/>
  <c r="J173" i="35"/>
  <c r="D122" i="35"/>
  <c r="H144" i="35"/>
  <c r="E55" i="35"/>
  <c r="O156" i="35"/>
  <c r="O57" i="35"/>
  <c r="L206" i="35"/>
  <c r="K223" i="35"/>
  <c r="P216" i="35"/>
  <c r="H29" i="35"/>
  <c r="P103" i="35"/>
  <c r="O78" i="35"/>
  <c r="H94" i="35"/>
  <c r="J219" i="35"/>
  <c r="K21" i="35"/>
  <c r="K63" i="35"/>
  <c r="G71" i="35"/>
  <c r="I129" i="35"/>
  <c r="L200" i="35"/>
  <c r="P137" i="35"/>
  <c r="L204" i="35"/>
  <c r="D187" i="35"/>
  <c r="P118" i="35"/>
  <c r="L64" i="35"/>
  <c r="I162" i="35"/>
  <c r="D223" i="35"/>
  <c r="K222" i="35"/>
  <c r="E96" i="35"/>
  <c r="L17" i="35"/>
  <c r="I220" i="35"/>
  <c r="J132" i="35"/>
  <c r="N163" i="35"/>
  <c r="K140" i="35"/>
  <c r="M19" i="35"/>
  <c r="N66" i="35"/>
  <c r="L171" i="35"/>
  <c r="F37" i="35"/>
  <c r="P116" i="35"/>
  <c r="J217" i="35"/>
  <c r="I98" i="35"/>
  <c r="K201" i="35"/>
  <c r="L192" i="35"/>
  <c r="E223" i="35"/>
  <c r="D100" i="35"/>
  <c r="D201" i="35"/>
  <c r="E213" i="35"/>
  <c r="O208" i="35"/>
  <c r="F162" i="35"/>
  <c r="O201" i="35"/>
  <c r="P11" i="35"/>
  <c r="L29" i="35"/>
  <c r="J208" i="35"/>
  <c r="F123" i="35"/>
  <c r="H99" i="35"/>
  <c r="I139" i="35"/>
  <c r="M219" i="35"/>
  <c r="K50" i="35"/>
  <c r="I10" i="35"/>
  <c r="K138" i="35"/>
  <c r="F102" i="35"/>
  <c r="J62" i="35"/>
  <c r="E164" i="35"/>
  <c r="N181" i="35"/>
  <c r="E59" i="35"/>
  <c r="D20" i="35"/>
  <c r="G209" i="35"/>
  <c r="K115" i="35"/>
  <c r="E65" i="35"/>
  <c r="N91" i="35"/>
  <c r="L157" i="35"/>
  <c r="N167" i="35"/>
  <c r="F39" i="35"/>
  <c r="E119" i="35"/>
  <c r="P196" i="35"/>
  <c r="E114" i="35"/>
  <c r="J65" i="35"/>
  <c r="M164" i="35"/>
  <c r="K208" i="35"/>
  <c r="M138" i="35"/>
  <c r="D112" i="35"/>
  <c r="L24" i="35"/>
  <c r="H156" i="35"/>
  <c r="L150" i="35"/>
  <c r="N102" i="35"/>
  <c r="N145" i="35"/>
  <c r="I170" i="35"/>
  <c r="L161" i="35"/>
  <c r="M98" i="35"/>
  <c r="P191" i="35"/>
  <c r="O216" i="35"/>
  <c r="G11" i="35"/>
  <c r="P168" i="35"/>
  <c r="E112" i="35"/>
  <c r="E80" i="35"/>
  <c r="K72" i="35"/>
  <c r="M50" i="35"/>
  <c r="G193" i="35"/>
  <c r="P170" i="35"/>
  <c r="G190" i="35"/>
  <c r="L23" i="35"/>
  <c r="K75" i="35"/>
  <c r="L202" i="35"/>
  <c r="O85" i="35"/>
  <c r="M14" i="35"/>
  <c r="D208" i="35"/>
  <c r="G173" i="35"/>
  <c r="G56" i="35"/>
  <c r="N214" i="35"/>
  <c r="M66" i="35"/>
  <c r="I9" i="35"/>
  <c r="F31" i="35"/>
  <c r="O115" i="35"/>
  <c r="O30" i="35"/>
  <c r="O137" i="35"/>
  <c r="O120" i="35"/>
  <c r="F155" i="35"/>
  <c r="M170" i="35"/>
  <c r="O173" i="35"/>
  <c r="H61" i="35"/>
  <c r="M126" i="35"/>
  <c r="E100" i="35"/>
  <c r="D170" i="35"/>
  <c r="J136" i="35"/>
  <c r="K45" i="35"/>
  <c r="P93" i="35"/>
  <c r="P164" i="35"/>
  <c r="O20" i="35"/>
  <c r="J195" i="35"/>
  <c r="P52" i="35"/>
  <c r="L97" i="35"/>
  <c r="I86" i="35"/>
  <c r="G45" i="35"/>
  <c r="K100" i="35"/>
  <c r="P127" i="35"/>
  <c r="M73" i="35"/>
  <c r="O66" i="35"/>
  <c r="F70" i="35"/>
  <c r="P202" i="35"/>
  <c r="G53" i="35"/>
  <c r="J201" i="35"/>
  <c r="M57" i="35"/>
  <c r="H219" i="35"/>
  <c r="O117" i="35"/>
  <c r="L66" i="35"/>
  <c r="G107" i="35"/>
  <c r="P59" i="35"/>
  <c r="I120" i="35"/>
  <c r="N194" i="35"/>
  <c r="O63" i="35"/>
  <c r="J29" i="35"/>
  <c r="F120" i="35"/>
  <c r="E103" i="35"/>
  <c r="G74" i="35"/>
  <c r="P78" i="35"/>
  <c r="O154" i="35"/>
  <c r="H200" i="35"/>
  <c r="K96" i="35"/>
  <c r="K98" i="35"/>
  <c r="E200" i="35"/>
  <c r="N54" i="35"/>
  <c r="E35" i="35"/>
  <c r="I105" i="35"/>
  <c r="O214" i="35"/>
  <c r="O131" i="35"/>
  <c r="H21" i="35"/>
  <c r="K174" i="35"/>
  <c r="L58" i="35"/>
  <c r="I27" i="35"/>
  <c r="K20" i="35"/>
  <c r="L108" i="35"/>
  <c r="F222" i="35"/>
  <c r="J81" i="35"/>
  <c r="N127" i="35"/>
  <c r="J50" i="35"/>
  <c r="E95" i="35"/>
  <c r="J221" i="35"/>
  <c r="P175" i="35"/>
  <c r="K163" i="35"/>
  <c r="H65" i="35"/>
  <c r="L21" i="35"/>
  <c r="H195" i="35"/>
  <c r="E180" i="35"/>
  <c r="F209" i="35"/>
  <c r="P105" i="35"/>
  <c r="L52" i="35"/>
  <c r="L31" i="35"/>
  <c r="I13" i="35"/>
  <c r="H100" i="35"/>
  <c r="O112" i="35"/>
  <c r="K157" i="35"/>
  <c r="K44" i="35"/>
  <c r="H95" i="35"/>
  <c r="L220" i="35"/>
  <c r="H140" i="35"/>
  <c r="E138" i="35"/>
  <c r="E161" i="35"/>
  <c r="H104" i="35"/>
  <c r="O21" i="35"/>
  <c r="P206" i="35"/>
  <c r="E73" i="35"/>
  <c r="L75" i="35"/>
  <c r="M38" i="35"/>
  <c r="I153" i="35"/>
  <c r="I204" i="35"/>
  <c r="G105" i="35"/>
  <c r="H126" i="35"/>
  <c r="P154" i="35"/>
  <c r="I92" i="35"/>
  <c r="N218" i="35"/>
  <c r="M223" i="35"/>
  <c r="N171" i="35"/>
  <c r="H91" i="35"/>
  <c r="D37" i="35"/>
  <c r="L172" i="35"/>
  <c r="E115" i="35"/>
  <c r="K161" i="35"/>
  <c r="P70" i="35"/>
  <c r="J97" i="35"/>
  <c r="K171" i="35"/>
  <c r="K202" i="35"/>
  <c r="O157" i="35"/>
  <c r="N146" i="35"/>
  <c r="O129" i="35"/>
  <c r="L27" i="35"/>
  <c r="H191" i="35"/>
  <c r="K29" i="35"/>
  <c r="P99" i="35"/>
  <c r="D157" i="35"/>
  <c r="E63" i="35"/>
  <c r="H69" i="35"/>
  <c r="D153" i="35"/>
  <c r="L147" i="35"/>
  <c r="L81" i="35"/>
  <c r="N169" i="35"/>
  <c r="N92" i="35"/>
  <c r="K121" i="35"/>
  <c r="M26" i="35"/>
  <c r="O60" i="35"/>
  <c r="J22" i="35"/>
  <c r="F115" i="35"/>
  <c r="M54" i="35"/>
  <c r="L184" i="35"/>
  <c r="H17" i="35"/>
  <c r="G155" i="35"/>
  <c r="D94" i="35"/>
  <c r="P50" i="35"/>
  <c r="L216" i="35"/>
  <c r="K109" i="35"/>
  <c r="F93" i="35"/>
  <c r="O114" i="35"/>
  <c r="K120" i="35"/>
  <c r="I176" i="35"/>
  <c r="M10" i="35"/>
  <c r="N131" i="35"/>
  <c r="J223" i="35"/>
  <c r="F170" i="35"/>
  <c r="M214" i="35"/>
  <c r="D146" i="35"/>
  <c r="E204" i="35"/>
  <c r="L173" i="35"/>
  <c r="E92" i="35"/>
  <c r="D174" i="35"/>
  <c r="E192" i="35"/>
  <c r="I78" i="35"/>
  <c r="N155" i="35"/>
  <c r="H98" i="35"/>
  <c r="I199" i="35"/>
  <c r="M116" i="35"/>
  <c r="P39" i="35"/>
  <c r="O51" i="35"/>
  <c r="E168" i="35"/>
  <c r="D181" i="35"/>
  <c r="L120" i="35"/>
  <c r="O70" i="35"/>
  <c r="M25" i="35"/>
  <c r="E146" i="35"/>
  <c r="I198" i="35"/>
  <c r="M221" i="35"/>
  <c r="N223" i="35"/>
  <c r="O194" i="35"/>
  <c r="M121" i="35"/>
  <c r="O97" i="35"/>
  <c r="O11" i="35"/>
  <c r="F49" i="35"/>
  <c r="D10" i="35"/>
  <c r="G115" i="35"/>
  <c r="M43" i="35"/>
  <c r="M65" i="35"/>
  <c r="L190" i="35"/>
  <c r="P54" i="35"/>
  <c r="F27" i="35"/>
  <c r="I146" i="35"/>
  <c r="M173" i="35"/>
  <c r="I180" i="35"/>
  <c r="H13" i="35"/>
  <c r="H92" i="35"/>
  <c r="O176" i="35"/>
  <c r="N191" i="35"/>
  <c r="G150" i="35"/>
  <c r="N22" i="35"/>
  <c r="G63" i="35"/>
  <c r="H59" i="35"/>
  <c r="H201" i="35"/>
  <c r="K145" i="35"/>
  <c r="K13" i="35"/>
  <c r="I55" i="35"/>
  <c r="N201" i="35"/>
  <c r="O13" i="35"/>
  <c r="I136" i="35"/>
  <c r="G187" i="35"/>
  <c r="I97" i="35"/>
  <c r="E197" i="35"/>
  <c r="N138" i="35"/>
  <c r="N144" i="35"/>
  <c r="K34" i="35"/>
  <c r="K221" i="35"/>
  <c r="M156" i="35"/>
  <c r="D49" i="35"/>
  <c r="J145" i="35"/>
  <c r="N177" i="35"/>
  <c r="I106" i="35"/>
  <c r="G205" i="35"/>
  <c r="F149" i="35"/>
  <c r="K156" i="35"/>
  <c r="L131" i="35"/>
  <c r="D30" i="35"/>
  <c r="G18" i="35"/>
  <c r="F198" i="35"/>
  <c r="G133" i="35"/>
  <c r="H26" i="35"/>
  <c r="P161" i="35"/>
  <c r="D22" i="35"/>
  <c r="I74" i="35"/>
  <c r="E141" i="35"/>
  <c r="L61" i="35"/>
  <c r="K62" i="35"/>
  <c r="M162" i="35"/>
  <c r="J112" i="35"/>
  <c r="G99" i="35"/>
  <c r="D182" i="35"/>
  <c r="J196" i="35"/>
  <c r="I194" i="35"/>
  <c r="D9" i="35"/>
  <c r="I193" i="35"/>
  <c r="D52" i="35"/>
  <c r="G92" i="35"/>
  <c r="K114" i="35"/>
  <c r="I122" i="35"/>
  <c r="F80" i="35"/>
  <c r="M204" i="35"/>
  <c r="F9" i="35"/>
  <c r="N9" i="35"/>
  <c r="H97" i="35"/>
  <c r="D75" i="35"/>
  <c r="I205" i="35"/>
  <c r="G219" i="35"/>
  <c r="P108" i="35"/>
  <c r="J94" i="35"/>
  <c r="H169" i="35"/>
  <c r="J222" i="35"/>
  <c r="O195" i="35"/>
  <c r="F35" i="35"/>
  <c r="I158" i="35"/>
  <c r="F69" i="35"/>
  <c r="G34" i="35"/>
  <c r="H36" i="35"/>
  <c r="L49" i="35"/>
  <c r="G147" i="35"/>
  <c r="K53" i="35"/>
  <c r="G172" i="35"/>
  <c r="P80" i="35"/>
  <c r="M51" i="35"/>
  <c r="L26" i="35"/>
  <c r="H72" i="35"/>
  <c r="M171" i="35"/>
  <c r="D197" i="35"/>
  <c r="N168" i="35"/>
  <c r="J109" i="35"/>
  <c r="J158" i="35"/>
  <c r="G198" i="35"/>
  <c r="P220" i="35"/>
  <c r="F104" i="35"/>
  <c r="M39" i="35"/>
  <c r="I223" i="35"/>
  <c r="F218" i="35"/>
  <c r="O155" i="35"/>
  <c r="D219" i="35"/>
  <c r="H56" i="35"/>
  <c r="L141" i="35"/>
  <c r="D132" i="35"/>
  <c r="O93" i="35"/>
  <c r="L148" i="35"/>
  <c r="N222" i="35"/>
  <c r="M97" i="35"/>
  <c r="O74" i="35"/>
  <c r="L140" i="35"/>
  <c r="P214" i="35"/>
  <c r="E82" i="35"/>
  <c r="D167" i="35"/>
  <c r="F168" i="35"/>
  <c r="O187" i="35"/>
  <c r="I137" i="35"/>
  <c r="P63" i="35"/>
  <c r="E104" i="35"/>
  <c r="F157" i="35"/>
  <c r="K70" i="35"/>
  <c r="F10" i="35"/>
  <c r="N100" i="35"/>
  <c r="D139" i="35"/>
  <c r="K216" i="35"/>
  <c r="K203" i="35"/>
  <c r="N203" i="35"/>
  <c r="D193" i="35"/>
  <c r="G212" i="35"/>
  <c r="H103" i="35"/>
  <c r="H221" i="35"/>
  <c r="N61" i="35"/>
  <c r="K129" i="35"/>
  <c r="D103" i="35"/>
  <c r="D212" i="35"/>
  <c r="G109" i="35"/>
  <c r="I119" i="35"/>
  <c r="P9" i="35"/>
  <c r="O158" i="35"/>
  <c r="J58" i="35"/>
  <c r="I167" i="35"/>
  <c r="F72" i="35"/>
  <c r="H105" i="35"/>
  <c r="M207" i="35"/>
  <c r="K215" i="35"/>
  <c r="I79" i="35"/>
  <c r="E118" i="35"/>
  <c r="H34" i="35"/>
  <c r="H209" i="35"/>
  <c r="K9" i="35"/>
  <c r="D121" i="35"/>
  <c r="J187" i="35"/>
  <c r="P217" i="35"/>
  <c r="O105" i="35"/>
  <c r="M133" i="35"/>
  <c r="G222" i="35"/>
  <c r="M52" i="35"/>
  <c r="M154" i="35"/>
  <c r="N148" i="35"/>
  <c r="N12" i="35"/>
  <c r="G223" i="35"/>
  <c r="F38" i="35"/>
  <c r="N60" i="35"/>
  <c r="F197" i="35"/>
  <c r="F28" i="35"/>
  <c r="L196" i="35"/>
  <c r="K187" i="35"/>
  <c r="D85" i="35"/>
  <c r="G100" i="35"/>
  <c r="G39" i="35"/>
  <c r="E69" i="35"/>
  <c r="H81" i="35"/>
  <c r="E153" i="35"/>
  <c r="F174" i="35"/>
  <c r="N114" i="35"/>
  <c r="J71" i="35"/>
  <c r="F13" i="35"/>
  <c r="J26" i="35"/>
  <c r="D204" i="35"/>
  <c r="I145" i="35"/>
  <c r="D28" i="35"/>
  <c r="O197" i="35"/>
  <c r="N126" i="35"/>
  <c r="D150" i="35"/>
  <c r="L158" i="35"/>
  <c r="H113" i="35"/>
  <c r="L70" i="35"/>
  <c r="J113" i="35"/>
  <c r="H112" i="35"/>
  <c r="J93" i="35"/>
  <c r="I150" i="35"/>
  <c r="P34" i="35"/>
  <c r="L177" i="35"/>
  <c r="P130" i="35"/>
  <c r="L207" i="35"/>
  <c r="H167" i="35"/>
  <c r="I202" i="35"/>
  <c r="J167" i="35"/>
  <c r="M146" i="35"/>
  <c r="N200" i="35"/>
  <c r="K57" i="35"/>
  <c r="D149" i="35"/>
  <c r="H217" i="35"/>
  <c r="G157" i="35"/>
  <c r="G163" i="35"/>
  <c r="F127" i="35"/>
  <c r="F107" i="35"/>
  <c r="H86" i="35"/>
  <c r="J102" i="35"/>
  <c r="D117" i="35"/>
  <c r="G171" i="35"/>
  <c r="J37" i="35"/>
  <c r="J129" i="35"/>
  <c r="P119" i="35"/>
  <c r="E61" i="35"/>
  <c r="I35" i="35"/>
  <c r="O28" i="35"/>
  <c r="K95" i="35"/>
  <c r="H128" i="35"/>
  <c r="I197" i="35"/>
  <c r="K173" i="35"/>
  <c r="K37" i="35"/>
  <c r="H11" i="35"/>
  <c r="J67" i="35"/>
  <c r="O167" i="35"/>
  <c r="N80" i="35"/>
  <c r="M119" i="35"/>
  <c r="P155" i="35"/>
  <c r="J191" i="35"/>
  <c r="M181" i="35"/>
  <c r="K206" i="35"/>
  <c r="J169" i="35"/>
  <c r="N157" i="35"/>
  <c r="N67" i="35"/>
  <c r="L208" i="35"/>
  <c r="G146" i="35"/>
  <c r="L183" i="35"/>
  <c r="J149" i="35"/>
  <c r="K26" i="35"/>
  <c r="P193" i="35"/>
  <c r="G97" i="35"/>
  <c r="E207" i="35"/>
  <c r="E23" i="35"/>
  <c r="F17" i="35"/>
  <c r="O139" i="35"/>
  <c r="M21" i="35"/>
  <c r="I49" i="35"/>
  <c r="D194" i="35"/>
  <c r="O65" i="35"/>
  <c r="J141" i="35"/>
  <c r="P23" i="35"/>
  <c r="G40" i="35"/>
  <c r="E169" i="35"/>
  <c r="O87" i="35"/>
  <c r="H220" i="35"/>
  <c r="G136" i="35"/>
  <c r="N113" i="35"/>
  <c r="N202" i="35"/>
  <c r="H163" i="35"/>
  <c r="J31" i="35"/>
  <c r="O80" i="35"/>
  <c r="P197" i="35"/>
  <c r="D34" i="35"/>
  <c r="I174" i="35"/>
  <c r="J200" i="35"/>
  <c r="L13" i="35"/>
  <c r="L117" i="35"/>
  <c r="O71" i="35"/>
  <c r="M12" i="35"/>
  <c r="L205" i="35"/>
  <c r="D87" i="35"/>
  <c r="G183" i="35"/>
  <c r="N212" i="35"/>
  <c r="I81" i="35"/>
  <c r="K184" i="35"/>
  <c r="O183" i="35"/>
  <c r="I104" i="35"/>
  <c r="M109" i="35"/>
  <c r="G22" i="35"/>
  <c r="P176" i="35"/>
  <c r="K27" i="35"/>
  <c r="O200" i="35"/>
  <c r="M184" i="35"/>
  <c r="I184" i="35"/>
  <c r="E126" i="35"/>
  <c r="L10" i="35"/>
  <c r="J172" i="35"/>
  <c r="D55" i="35"/>
  <c r="N36" i="35"/>
  <c r="D136" i="35"/>
  <c r="E214" i="35"/>
  <c r="K162" i="35"/>
  <c r="H205" i="35"/>
  <c r="K52" i="35"/>
  <c r="N170" i="35"/>
  <c r="O204" i="35"/>
  <c r="N18" i="35"/>
  <c r="G215" i="35"/>
  <c r="P199" i="35"/>
  <c r="L174" i="35"/>
  <c r="J156" i="35"/>
  <c r="N137" i="35"/>
  <c r="E78" i="35"/>
  <c r="D39" i="35"/>
  <c r="K192" i="35"/>
  <c r="M129" i="35"/>
  <c r="K85" i="35"/>
  <c r="F40" i="35"/>
  <c r="K113" i="35"/>
  <c r="F59" i="35"/>
  <c r="O98" i="35"/>
  <c r="O96" i="35"/>
  <c r="E75" i="35"/>
  <c r="H53" i="35"/>
  <c r="P121" i="35"/>
  <c r="M31" i="35"/>
  <c r="P38" i="35"/>
  <c r="N112" i="35"/>
  <c r="P20" i="35"/>
  <c r="M120" i="35"/>
  <c r="D173" i="35"/>
  <c r="I161" i="35"/>
  <c r="D79" i="35"/>
  <c r="O53" i="35"/>
  <c r="L113" i="35"/>
  <c r="G28" i="35"/>
  <c r="G195" i="35"/>
  <c r="M105" i="35"/>
  <c r="P73" i="35"/>
  <c r="J105" i="35"/>
  <c r="O148" i="35"/>
  <c r="P136" i="35"/>
  <c r="G25" i="35"/>
  <c r="H141" i="35"/>
  <c r="G191" i="35"/>
  <c r="N130" i="35"/>
  <c r="M149" i="35"/>
  <c r="D168" i="35"/>
  <c r="I196" i="35"/>
  <c r="I52" i="35"/>
  <c r="P57" i="35"/>
  <c r="L100" i="35"/>
  <c r="D59" i="35"/>
  <c r="L53" i="35"/>
  <c r="E177" i="35"/>
  <c r="I213" i="35"/>
  <c r="F169" i="35"/>
  <c r="E136" i="35"/>
  <c r="H218" i="35"/>
  <c r="K17" i="35"/>
  <c r="P104" i="35"/>
  <c r="M208" i="35"/>
  <c r="F50" i="35"/>
  <c r="I118" i="35"/>
  <c r="N221" i="35"/>
  <c r="D31" i="35"/>
  <c r="F163" i="35"/>
  <c r="K12" i="35"/>
  <c r="G114" i="35"/>
  <c r="L153" i="35"/>
  <c r="M37" i="35"/>
  <c r="F58" i="35"/>
  <c r="H23" i="35"/>
  <c r="D205" i="35"/>
  <c r="J63" i="35"/>
  <c r="D60" i="35"/>
  <c r="P40" i="35"/>
  <c r="N136" i="35"/>
  <c r="M106" i="35"/>
  <c r="K87" i="35"/>
  <c r="J127" i="35"/>
  <c r="P132" i="35"/>
  <c r="I156" i="35"/>
  <c r="H67" i="35"/>
  <c r="D70" i="35"/>
  <c r="L156" i="35"/>
  <c r="I54" i="35"/>
  <c r="L116" i="35"/>
  <c r="D130" i="35"/>
  <c r="E133" i="35"/>
  <c r="E29" i="35"/>
  <c r="M101" i="35"/>
  <c r="D72" i="35"/>
  <c r="F204" i="35"/>
  <c r="O61" i="35"/>
  <c r="E25" i="35"/>
  <c r="P126" i="35"/>
  <c r="F221" i="35"/>
  <c r="J207" i="35"/>
  <c r="J25" i="35"/>
  <c r="O218" i="35"/>
  <c r="M108" i="35"/>
  <c r="K122" i="35"/>
  <c r="P67" i="35"/>
  <c r="L101" i="35"/>
  <c r="C153" i="35"/>
  <c r="E37" i="35"/>
  <c r="D21" i="35"/>
  <c r="J153" i="35"/>
  <c r="O121" i="35"/>
  <c r="L222" i="35"/>
  <c r="L45" i="35"/>
  <c r="L109" i="35"/>
  <c r="P192" i="35"/>
  <c r="F136" i="35"/>
  <c r="L137" i="35"/>
  <c r="I102" i="35"/>
  <c r="O10" i="35"/>
  <c r="E193" i="35"/>
  <c r="L59" i="35"/>
  <c r="L129" i="35"/>
  <c r="O17" i="35"/>
  <c r="G208" i="35"/>
  <c r="N190" i="35"/>
  <c r="L50" i="35"/>
  <c r="D17" i="35"/>
  <c r="L78" i="35"/>
  <c r="O199" i="35"/>
  <c r="D101" i="35"/>
  <c r="J59" i="35"/>
  <c r="J161" i="35"/>
  <c r="P204" i="35"/>
  <c r="D218" i="35"/>
  <c r="G59" i="35"/>
  <c r="P223" i="35"/>
  <c r="E195" i="35"/>
  <c r="G176" i="35"/>
  <c r="N30" i="35"/>
  <c r="I23" i="35"/>
  <c r="E85" i="35"/>
  <c r="M114" i="35"/>
  <c r="H49" i="35"/>
  <c r="G35" i="35"/>
  <c r="N184" i="35"/>
  <c r="O106" i="35"/>
  <c r="N115" i="35"/>
  <c r="F14" i="35"/>
  <c r="E208" i="35"/>
  <c r="O207" i="35"/>
  <c r="D119" i="35"/>
  <c r="I113" i="35"/>
  <c r="J73" i="35"/>
  <c r="F30" i="35"/>
  <c r="K133" i="35"/>
  <c r="E11" i="35"/>
  <c r="L11" i="35"/>
  <c r="H40" i="35"/>
  <c r="G202" i="35"/>
  <c r="I169" i="35"/>
  <c r="M24" i="35"/>
  <c r="F194" i="35"/>
  <c r="G108" i="35"/>
  <c r="M216" i="35"/>
  <c r="F86" i="35"/>
  <c r="I22" i="35"/>
  <c r="H66" i="35"/>
  <c r="G197" i="35"/>
  <c r="K43" i="35"/>
  <c r="D199" i="35"/>
  <c r="O64" i="35"/>
  <c r="J100" i="35"/>
  <c r="M95" i="35"/>
  <c r="K60" i="35"/>
  <c r="M64" i="35"/>
  <c r="H27" i="35"/>
  <c r="G68" i="35"/>
  <c r="N207" i="35"/>
  <c r="L215" i="35"/>
  <c r="M172" i="35"/>
  <c r="F25" i="35"/>
  <c r="O79" i="35"/>
  <c r="F201" i="35"/>
  <c r="I192" i="35"/>
  <c r="G139" i="35"/>
  <c r="M141" i="35"/>
  <c r="M112" i="35"/>
  <c r="M191" i="35"/>
  <c r="H119" i="35"/>
  <c r="E172" i="35"/>
  <c r="O181" i="35"/>
  <c r="O35" i="35"/>
  <c r="G170" i="35"/>
  <c r="N162" i="35"/>
  <c r="D113" i="35"/>
  <c r="J147" i="35"/>
  <c r="O219" i="35"/>
  <c r="F173" i="35"/>
  <c r="L201" i="35"/>
  <c r="N25" i="35"/>
  <c r="D213" i="35"/>
  <c r="G201" i="35"/>
  <c r="F53" i="35"/>
  <c r="H197" i="35"/>
  <c r="O59" i="35"/>
  <c r="H22" i="35"/>
  <c r="F105" i="35"/>
  <c r="K81" i="35"/>
  <c r="O132" i="35"/>
  <c r="J79" i="35"/>
  <c r="I63" i="35"/>
  <c r="H10" i="35"/>
  <c r="O45" i="35"/>
  <c r="K180" i="35"/>
  <c r="J198" i="35"/>
  <c r="D86" i="35"/>
  <c r="G95" i="35"/>
  <c r="E50" i="35"/>
  <c r="N122" i="35"/>
  <c r="I126" i="35"/>
  <c r="I175" i="35"/>
  <c r="P92" i="35"/>
  <c r="G218" i="35"/>
  <c r="N86" i="35"/>
  <c r="I200" i="35"/>
  <c r="H176" i="35"/>
  <c r="E21" i="35"/>
  <c r="D203" i="35"/>
  <c r="O174" i="35"/>
  <c r="I121" i="35"/>
  <c r="L60" i="35"/>
  <c r="F23" i="35"/>
  <c r="P209" i="35"/>
  <c r="E158" i="35"/>
  <c r="I21" i="35"/>
  <c r="J108" i="35"/>
  <c r="N195" i="35"/>
  <c r="E184" i="35"/>
  <c r="J122" i="35"/>
  <c r="L74" i="35"/>
  <c r="J21" i="35"/>
  <c r="I128" i="35"/>
  <c r="M215" i="35"/>
  <c r="F113" i="35"/>
  <c r="H204" i="35"/>
  <c r="D116" i="35"/>
  <c r="H183" i="35"/>
  <c r="H127" i="35"/>
  <c r="M17" i="35"/>
  <c r="N34" i="35"/>
  <c r="L38" i="35"/>
  <c r="D24" i="35"/>
  <c r="M118" i="35"/>
  <c r="I217" i="35"/>
  <c r="G82" i="35"/>
  <c r="H196" i="35"/>
  <c r="L86" i="35"/>
  <c r="D96" i="35"/>
  <c r="K220" i="35"/>
  <c r="N183" i="35"/>
  <c r="J190" i="35"/>
  <c r="F177" i="35"/>
  <c r="N65" i="35"/>
  <c r="F45" i="35"/>
  <c r="N75" i="35"/>
  <c r="I64" i="35"/>
  <c r="H9" i="35"/>
  <c r="O128" i="35"/>
  <c r="M217" i="35"/>
  <c r="P167" i="35"/>
  <c r="E121" i="35"/>
  <c r="K190" i="35"/>
  <c r="O191" i="35"/>
  <c r="H38" i="35"/>
  <c r="E67" i="35"/>
  <c r="D14" i="35"/>
  <c r="K23" i="35"/>
  <c r="F91" i="35"/>
  <c r="M140" i="35"/>
  <c r="L144" i="35"/>
  <c r="P213" i="35"/>
  <c r="D66" i="35"/>
  <c r="N121" i="35"/>
  <c r="J137" i="35"/>
  <c r="O22" i="35"/>
  <c r="D102" i="35"/>
  <c r="E219" i="35"/>
  <c r="G78" i="35"/>
  <c r="H164" i="35"/>
  <c r="M167" i="35"/>
  <c r="O119" i="35"/>
  <c r="M103" i="35"/>
  <c r="K144" i="35"/>
  <c r="M158" i="35"/>
  <c r="E122" i="35"/>
  <c r="G10" i="35"/>
  <c r="P133" i="35"/>
  <c r="D176" i="35"/>
  <c r="F154" i="35"/>
  <c r="F147" i="35"/>
  <c r="H194" i="35"/>
  <c r="N204" i="35"/>
  <c r="E71" i="35"/>
  <c r="M122" i="35"/>
  <c r="D184" i="35"/>
  <c r="D78" i="35"/>
  <c r="L54" i="35"/>
  <c r="P163" i="35"/>
  <c r="P21" i="35"/>
  <c r="E109" i="35"/>
  <c r="H162" i="35"/>
  <c r="L99" i="35"/>
  <c r="D191" i="35"/>
  <c r="K177" i="35"/>
  <c r="J157" i="35"/>
  <c r="I69" i="35"/>
  <c r="O161" i="35"/>
  <c r="G132" i="35"/>
  <c r="I17" i="35"/>
  <c r="O123" i="35"/>
  <c r="H175" i="35"/>
  <c r="G55" i="35"/>
  <c r="E205" i="35"/>
  <c r="P171" i="35"/>
  <c r="G112" i="35"/>
  <c r="O68" i="35"/>
  <c r="M81" i="35"/>
  <c r="O196" i="35"/>
  <c r="L155" i="35"/>
  <c r="J164" i="35"/>
  <c r="N51" i="35"/>
  <c r="D38" i="35"/>
  <c r="F183" i="35"/>
  <c r="P139" i="35"/>
  <c r="I157" i="35"/>
  <c r="L123" i="35"/>
  <c r="K196" i="35"/>
  <c r="N56" i="35"/>
  <c r="P203" i="35"/>
  <c r="F36" i="35"/>
  <c r="K51" i="35"/>
  <c r="I38" i="35"/>
  <c r="E49" i="35"/>
  <c r="M80" i="35"/>
  <c r="L194" i="35"/>
  <c r="O140" i="35"/>
  <c r="F78" i="35"/>
  <c r="J130" i="35"/>
  <c r="K141" i="35"/>
  <c r="H37" i="35"/>
  <c r="G13" i="35"/>
  <c r="F43" i="35"/>
  <c r="F202" i="35"/>
  <c r="M117" i="35"/>
  <c r="O193" i="35"/>
  <c r="N119" i="35"/>
  <c r="L133" i="35"/>
  <c r="O127" i="35"/>
  <c r="D35" i="35"/>
  <c r="K197" i="35"/>
  <c r="I201" i="35"/>
  <c r="P198" i="35"/>
  <c r="H149" i="35"/>
  <c r="I60" i="35"/>
  <c r="F223" i="35"/>
  <c r="K150" i="35"/>
  <c r="D107" i="35"/>
  <c r="I123" i="35"/>
  <c r="M199" i="35"/>
  <c r="E79" i="35"/>
  <c r="M168" i="35"/>
  <c r="E58" i="35"/>
  <c r="N133" i="35"/>
  <c r="M163" i="35"/>
  <c r="O39" i="35"/>
  <c r="G57" i="35"/>
  <c r="M35" i="35"/>
  <c r="O109" i="35"/>
  <c r="E173" i="35"/>
  <c r="P44" i="35"/>
  <c r="E174" i="35"/>
  <c r="E132" i="35"/>
  <c r="N50" i="35"/>
  <c r="N26" i="35"/>
  <c r="D105" i="35"/>
  <c r="F196" i="35"/>
  <c r="J86" i="35"/>
  <c r="J54" i="35"/>
  <c r="G79" i="35"/>
  <c r="E148" i="35"/>
  <c r="L85" i="35"/>
  <c r="K55" i="35"/>
  <c r="D129" i="35"/>
  <c r="I190" i="35"/>
  <c r="L154" i="35"/>
  <c r="E86" i="35"/>
  <c r="M201" i="35"/>
  <c r="F158" i="35"/>
  <c r="N57" i="35"/>
  <c r="E97" i="35"/>
  <c r="L209" i="35"/>
  <c r="K181" i="35"/>
  <c r="P146" i="35"/>
  <c r="P85" i="35"/>
  <c r="N59" i="35"/>
  <c r="F108" i="35"/>
  <c r="N27" i="35"/>
  <c r="L162" i="35"/>
  <c r="H24" i="35"/>
  <c r="G221" i="35"/>
  <c r="K148" i="35"/>
  <c r="D64" i="35"/>
  <c r="F203" i="35"/>
  <c r="K68" i="35"/>
  <c r="O104" i="35"/>
  <c r="O222" i="35"/>
  <c r="H208" i="35"/>
  <c r="G30" i="35"/>
  <c r="P172" i="35"/>
  <c r="H129" i="35"/>
  <c r="K158" i="35"/>
  <c r="E149" i="35"/>
  <c r="D217" i="35"/>
  <c r="H87" i="35"/>
  <c r="N87" i="35"/>
  <c r="L223" i="35"/>
  <c r="P113" i="35"/>
  <c r="H116" i="35"/>
  <c r="D164" i="35"/>
  <c r="N20" i="35"/>
  <c r="D221" i="35"/>
  <c r="G116" i="35"/>
  <c r="P81" i="35"/>
  <c r="E117" i="35"/>
  <c r="P12" i="35"/>
  <c r="K199" i="35"/>
  <c r="F62" i="35"/>
  <c r="G119" i="35"/>
  <c r="K28" i="35"/>
  <c r="K104" i="35"/>
  <c r="D133" i="35"/>
  <c r="I131" i="35"/>
  <c r="N52" i="35"/>
  <c r="D81" i="35"/>
  <c r="K219" i="35"/>
  <c r="E203" i="35"/>
  <c r="M100" i="35"/>
  <c r="G194" i="35"/>
  <c r="G80" i="35"/>
  <c r="N64" i="35"/>
  <c r="H173" i="35"/>
  <c r="K146" i="35"/>
  <c r="G207" i="35"/>
  <c r="L213" i="35"/>
  <c r="D57" i="35"/>
  <c r="K126" i="35"/>
  <c r="M102" i="35"/>
  <c r="N108" i="35"/>
  <c r="E43" i="35"/>
  <c r="N101" i="35"/>
  <c r="E64" i="35"/>
  <c r="D53" i="35"/>
  <c r="C150" i="35"/>
  <c r="L187" i="35"/>
  <c r="P29" i="35"/>
  <c r="F184" i="35"/>
  <c r="F26" i="35"/>
  <c r="L127" i="35"/>
  <c r="E157" i="35"/>
  <c r="P13" i="35"/>
  <c r="F109" i="35"/>
  <c r="L128" i="35"/>
  <c r="I24" i="35"/>
  <c r="E206" i="35"/>
  <c r="K116" i="35"/>
  <c r="N208" i="35"/>
  <c r="J203" i="35"/>
  <c r="I117" i="35"/>
  <c r="P94" i="35"/>
  <c r="M177" i="35"/>
  <c r="P102" i="35"/>
  <c r="J180" i="35"/>
  <c r="D68" i="35"/>
  <c r="P71" i="35"/>
  <c r="H28" i="35"/>
  <c r="O116" i="35"/>
  <c r="L94" i="35"/>
  <c r="I43" i="35"/>
  <c r="I221" i="35"/>
  <c r="C175" i="35"/>
  <c r="D196" i="35"/>
  <c r="I164" i="35"/>
  <c r="M62" i="35"/>
  <c r="H139" i="35"/>
  <c r="L106" i="35"/>
  <c r="L91" i="35"/>
  <c r="I173" i="35"/>
  <c r="I149" i="35"/>
  <c r="K127" i="35"/>
  <c r="L95" i="35"/>
  <c r="I29" i="35"/>
  <c r="N109" i="35"/>
  <c r="J69" i="35"/>
  <c r="K38" i="35"/>
  <c r="H133" i="35"/>
  <c r="E20" i="35"/>
  <c r="E27" i="35"/>
  <c r="O58" i="35"/>
  <c r="K102" i="35"/>
  <c r="N104" i="35"/>
  <c r="K107" i="35"/>
  <c r="F92" i="35"/>
  <c r="G96" i="35"/>
  <c r="F116" i="35"/>
  <c r="M148" i="35"/>
  <c r="O198" i="35"/>
  <c r="J193" i="35"/>
  <c r="O62" i="35"/>
  <c r="E171" i="35"/>
  <c r="I163" i="35"/>
  <c r="G60" i="35"/>
  <c r="M79" i="35"/>
  <c r="F137" i="35"/>
  <c r="N156" i="35"/>
  <c r="I18" i="35"/>
  <c r="M30" i="35"/>
  <c r="L118" i="35"/>
  <c r="J35" i="35"/>
  <c r="J53" i="35"/>
  <c r="J87" i="35"/>
  <c r="F130" i="35"/>
  <c r="G216" i="35"/>
  <c r="G144" i="35"/>
  <c r="O44" i="35"/>
  <c r="O164" i="35"/>
  <c r="O209" i="35"/>
  <c r="J214" i="35"/>
  <c r="M147" i="35"/>
  <c r="O95" i="35"/>
  <c r="H14" i="35"/>
  <c r="H215" i="35"/>
  <c r="I108" i="35"/>
  <c r="M45" i="35"/>
  <c r="L73" i="35"/>
  <c r="N44" i="35"/>
  <c r="F103" i="35"/>
  <c r="L12" i="35"/>
  <c r="J52" i="35"/>
  <c r="N39" i="35"/>
  <c r="G98" i="35"/>
  <c r="O50" i="35"/>
  <c r="L92" i="35"/>
  <c r="I183" i="35"/>
  <c r="D29" i="35"/>
  <c r="N68" i="35"/>
  <c r="O26" i="35"/>
  <c r="K176" i="35"/>
  <c r="E140" i="35"/>
  <c r="G137" i="35"/>
  <c r="M93" i="35"/>
  <c r="J19" i="35"/>
  <c r="L71" i="35"/>
  <c r="H203" i="35"/>
  <c r="H79" i="35"/>
  <c r="F145" i="35"/>
  <c r="O168" i="35"/>
  <c r="K19" i="35"/>
  <c r="L167" i="35"/>
  <c r="O18" i="35"/>
  <c r="E145" i="35"/>
  <c r="K119" i="35"/>
  <c r="D180" i="35"/>
  <c r="F148" i="35"/>
  <c r="I115" i="35"/>
  <c r="F199" i="35"/>
  <c r="D91" i="35"/>
  <c r="E150" i="35"/>
  <c r="M59" i="35"/>
  <c r="L169" i="35"/>
  <c r="E68" i="35"/>
  <c r="M222" i="35"/>
  <c r="F131" i="35"/>
  <c r="H75" i="35"/>
  <c r="C102" i="35"/>
  <c r="N24" i="35"/>
  <c r="E131" i="35"/>
  <c r="O177" i="35"/>
  <c r="P218" i="35"/>
  <c r="J61" i="35"/>
  <c r="O108" i="35"/>
  <c r="F118" i="35"/>
  <c r="H130" i="35"/>
  <c r="J39" i="35"/>
  <c r="H70" i="35"/>
  <c r="K82" i="35"/>
  <c r="D195" i="35"/>
  <c r="D25" i="35"/>
  <c r="F99" i="35"/>
  <c r="D202" i="35"/>
  <c r="I133" i="35"/>
  <c r="J91" i="35"/>
  <c r="M218" i="35"/>
  <c r="K137" i="35"/>
  <c r="M132" i="35"/>
  <c r="J168" i="35"/>
  <c r="L175" i="35"/>
  <c r="J114" i="35"/>
  <c r="H192" i="35"/>
  <c r="F150" i="35"/>
  <c r="J96" i="35"/>
  <c r="E13" i="35"/>
  <c r="H78" i="35"/>
  <c r="L193" i="35"/>
  <c r="N73" i="35"/>
  <c r="G214" i="35"/>
  <c r="O34" i="35"/>
  <c r="K130" i="35"/>
  <c r="L107" i="35"/>
  <c r="G36" i="35"/>
  <c r="H202" i="35"/>
  <c r="P51" i="35"/>
  <c r="H19" i="35"/>
  <c r="J218" i="35"/>
  <c r="K175" i="35"/>
  <c r="I51" i="35"/>
  <c r="G162" i="35"/>
  <c r="P98" i="35"/>
  <c r="J13" i="35"/>
  <c r="I65" i="35"/>
  <c r="C98" i="35"/>
  <c r="O190" i="35"/>
  <c r="G199" i="35"/>
  <c r="E222" i="35"/>
  <c r="L22" i="35"/>
  <c r="M131" i="35"/>
  <c r="I215" i="35"/>
  <c r="N220" i="35"/>
  <c r="D74" i="35"/>
  <c r="F153" i="35"/>
  <c r="J194" i="35"/>
  <c r="G177" i="35"/>
  <c r="F175" i="35"/>
  <c r="P65" i="35"/>
  <c r="F172" i="35"/>
  <c r="K61" i="35"/>
  <c r="J51" i="35"/>
  <c r="E215" i="35"/>
  <c r="L40" i="35"/>
  <c r="D97" i="35"/>
  <c r="E127" i="35"/>
  <c r="P222" i="35"/>
  <c r="O182" i="35"/>
  <c r="I53" i="35"/>
  <c r="G123" i="35"/>
  <c r="G213" i="35"/>
  <c r="F18" i="35"/>
  <c r="G19" i="35"/>
  <c r="P205" i="35"/>
  <c r="G65" i="35"/>
  <c r="O82" i="35"/>
  <c r="N82" i="35"/>
  <c r="O49" i="35"/>
  <c r="G130" i="35"/>
  <c r="K155" i="35"/>
  <c r="D40" i="35"/>
  <c r="O23" i="35"/>
  <c r="F164" i="35"/>
  <c r="D13" i="35"/>
  <c r="O29" i="35"/>
  <c r="E44" i="35"/>
  <c r="J40" i="35"/>
  <c r="L170" i="35"/>
  <c r="G180" i="35"/>
  <c r="K117" i="35"/>
  <c r="K200" i="35"/>
  <c r="F114" i="35"/>
  <c r="O202" i="35"/>
  <c r="P148" i="35"/>
  <c r="J216" i="35"/>
  <c r="N129" i="35"/>
  <c r="I127" i="35"/>
  <c r="I73" i="35"/>
  <c r="E183" i="35"/>
  <c r="K212" i="35"/>
  <c r="M194" i="35"/>
  <c r="H193" i="35"/>
  <c r="K30" i="35"/>
  <c r="M161" i="35"/>
  <c r="G67" i="35"/>
  <c r="P75" i="35"/>
  <c r="H213" i="35"/>
  <c r="J202" i="35"/>
  <c r="D92" i="35"/>
  <c r="M29" i="35"/>
  <c r="J34" i="35"/>
  <c r="M28" i="35"/>
  <c r="O144" i="35"/>
  <c r="L55" i="35"/>
  <c r="E57" i="35"/>
  <c r="N161" i="35"/>
  <c r="N213" i="35"/>
  <c r="C75" i="35"/>
  <c r="H120" i="35"/>
  <c r="O136" i="35"/>
  <c r="G54" i="35"/>
  <c r="E187" i="35"/>
  <c r="C26" i="35"/>
  <c r="K67" i="35"/>
  <c r="I140" i="35"/>
  <c r="I30" i="35"/>
  <c r="O27" i="35"/>
  <c r="P149" i="35"/>
  <c r="I75" i="35"/>
  <c r="K74" i="35"/>
  <c r="J43" i="35"/>
  <c r="L67" i="35"/>
  <c r="E54" i="35"/>
  <c r="I82" i="35"/>
  <c r="N205" i="35"/>
  <c r="L19" i="35"/>
  <c r="K106" i="35"/>
  <c r="N29" i="35"/>
  <c r="N206" i="35"/>
  <c r="G23" i="35"/>
  <c r="M176" i="35"/>
  <c r="G38" i="35"/>
  <c r="E198" i="35"/>
  <c r="G20" i="35"/>
  <c r="F44" i="35"/>
  <c r="L104" i="35"/>
  <c r="F52" i="35"/>
  <c r="I206" i="35"/>
  <c r="J14" i="35"/>
  <c r="G127" i="35"/>
  <c r="G49" i="35"/>
  <c r="D62" i="35"/>
  <c r="G168" i="35"/>
  <c r="H96" i="35"/>
  <c r="P27" i="35"/>
  <c r="H161" i="35"/>
  <c r="O171" i="35"/>
  <c r="N196" i="35"/>
  <c r="P35" i="35"/>
  <c r="D154" i="35"/>
  <c r="N69" i="35"/>
  <c r="K182" i="35"/>
  <c r="F73" i="35"/>
  <c r="H222" i="35"/>
  <c r="D108" i="35"/>
  <c r="O175" i="35"/>
  <c r="L115" i="35"/>
  <c r="O221" i="35"/>
  <c r="P115" i="35"/>
  <c r="H158" i="35"/>
  <c r="E156" i="35"/>
  <c r="J64" i="35"/>
  <c r="D141" i="35"/>
  <c r="H172" i="35"/>
  <c r="D45" i="35"/>
  <c r="O205" i="35"/>
  <c r="O55" i="35"/>
  <c r="D162" i="35"/>
  <c r="H30" i="35"/>
  <c r="N128" i="35"/>
  <c r="K214" i="35"/>
  <c r="D51" i="35"/>
  <c r="N120" i="35"/>
  <c r="N209" i="35"/>
  <c r="I182" i="35"/>
  <c r="N149" i="35"/>
  <c r="G62" i="35"/>
  <c r="M115" i="35"/>
  <c r="P153" i="35"/>
  <c r="I112" i="35"/>
  <c r="I20" i="35"/>
  <c r="G91" i="35"/>
  <c r="C93" i="35"/>
  <c r="K31" i="35"/>
  <c r="G204" i="35"/>
  <c r="P212" i="35"/>
  <c r="E218" i="35"/>
  <c r="G154" i="35"/>
  <c r="H153" i="35"/>
  <c r="M183" i="35"/>
  <c r="I107" i="35"/>
  <c r="D12" i="35"/>
  <c r="F112" i="35"/>
  <c r="N81" i="35"/>
  <c r="D177" i="35"/>
  <c r="N14" i="35"/>
  <c r="P69" i="35"/>
  <c r="L218" i="35"/>
  <c r="F85" i="35"/>
  <c r="J36" i="35"/>
  <c r="E128" i="35"/>
  <c r="K97" i="35"/>
  <c r="P107" i="35"/>
  <c r="K205" i="35"/>
  <c r="M212" i="35"/>
  <c r="D156" i="35"/>
  <c r="P97" i="35"/>
  <c r="C173" i="35"/>
  <c r="M86" i="35"/>
  <c r="L9" i="35"/>
  <c r="F181" i="35"/>
  <c r="G106" i="35"/>
  <c r="K193" i="35"/>
  <c r="E123" i="35"/>
  <c r="M23" i="35"/>
  <c r="N99" i="35"/>
  <c r="H207" i="35"/>
  <c r="O69" i="35"/>
  <c r="I70" i="35"/>
  <c r="M180" i="35"/>
  <c r="H12" i="35"/>
  <c r="O150" i="35"/>
  <c r="I95" i="35"/>
  <c r="H146" i="35"/>
  <c r="J171" i="35"/>
  <c r="D114" i="35"/>
  <c r="M150" i="35"/>
  <c r="K131" i="35"/>
  <c r="D163" i="35"/>
  <c r="M63" i="35"/>
  <c r="I148" i="35"/>
  <c r="M123" i="35"/>
  <c r="G167" i="35"/>
  <c r="H216" i="35"/>
  <c r="G156" i="35"/>
  <c r="K92" i="35"/>
  <c r="K136" i="35"/>
  <c r="N180" i="35"/>
  <c r="H54" i="35"/>
  <c r="O38" i="35"/>
  <c r="P123" i="35"/>
  <c r="M193" i="35"/>
  <c r="F195" i="35"/>
  <c r="I212" i="35"/>
  <c r="M36" i="35"/>
  <c r="D61" i="35"/>
  <c r="F79" i="35"/>
  <c r="N58" i="35"/>
  <c r="F133" i="35"/>
  <c r="J82" i="35"/>
  <c r="M85" i="35"/>
  <c r="O223" i="35"/>
  <c r="J118" i="35"/>
  <c r="I203" i="35"/>
  <c r="K39" i="35"/>
  <c r="G70" i="35"/>
  <c r="N198" i="35"/>
  <c r="G81" i="35"/>
  <c r="O130" i="35"/>
  <c r="N147" i="35"/>
  <c r="G131" i="35"/>
  <c r="L180" i="35"/>
  <c r="J17" i="35"/>
  <c r="H187" i="35"/>
  <c r="I144" i="35"/>
  <c r="L68" i="35"/>
  <c r="F205" i="35"/>
  <c r="N141" i="35"/>
  <c r="G206" i="35"/>
  <c r="P194" i="35"/>
  <c r="N38" i="35"/>
  <c r="M145" i="35"/>
  <c r="N150" i="35"/>
  <c r="E194" i="35"/>
  <c r="J103" i="35"/>
  <c r="L18" i="35"/>
  <c r="P177" i="35"/>
  <c r="J45" i="35"/>
  <c r="J199" i="35"/>
  <c r="E220" i="35"/>
  <c r="E101" i="35"/>
  <c r="G104" i="35"/>
  <c r="H137" i="35"/>
  <c r="D54" i="35"/>
  <c r="E10" i="35"/>
  <c r="K103" i="35"/>
  <c r="M70" i="35"/>
  <c r="H114" i="35"/>
  <c r="K36" i="35"/>
  <c r="F176" i="35"/>
  <c r="O153" i="35"/>
  <c r="K139" i="35"/>
  <c r="F55" i="35"/>
  <c r="K183" i="35"/>
  <c r="F74" i="35"/>
  <c r="P117" i="35"/>
  <c r="J27" i="35"/>
  <c r="J85" i="35"/>
  <c r="H43" i="35"/>
  <c r="E167" i="35"/>
  <c r="D120" i="35"/>
  <c r="E190" i="35"/>
  <c r="M69" i="35"/>
  <c r="N71" i="35"/>
  <c r="P62" i="35"/>
  <c r="I28" i="35"/>
  <c r="K209" i="35"/>
  <c r="P219" i="35"/>
  <c r="L25" i="35"/>
  <c r="M94" i="35"/>
  <c r="H223" i="35"/>
  <c r="F129" i="35"/>
  <c r="O24" i="35"/>
  <c r="L146" i="35"/>
  <c r="G44" i="35"/>
  <c r="J184" i="35"/>
  <c r="D63" i="35"/>
  <c r="H198" i="35"/>
  <c r="M198" i="35"/>
  <c r="O81" i="35"/>
  <c r="C100" i="35"/>
  <c r="K132" i="35"/>
  <c r="F54" i="35"/>
  <c r="P82" i="35"/>
  <c r="F71" i="35"/>
  <c r="J60" i="35"/>
  <c r="E87" i="35"/>
  <c r="O133" i="35"/>
  <c r="I31" i="35"/>
  <c r="K65" i="35"/>
  <c r="E176" i="35"/>
  <c r="M190" i="35"/>
  <c r="E14" i="35"/>
  <c r="G164" i="35"/>
  <c r="E202" i="35"/>
  <c r="F94" i="35"/>
  <c r="D93" i="35"/>
  <c r="N78" i="35"/>
  <c r="G50" i="35"/>
  <c r="N13" i="35"/>
  <c r="J176" i="35"/>
  <c r="L182" i="35"/>
  <c r="I94" i="35"/>
  <c r="H148" i="35"/>
  <c r="E216" i="35"/>
  <c r="I187" i="35"/>
  <c r="P60" i="35"/>
  <c r="L57" i="35"/>
  <c r="J177" i="35"/>
  <c r="G161" i="35"/>
  <c r="L28" i="35"/>
  <c r="M74" i="35"/>
  <c r="H118" i="35"/>
  <c r="L65" i="35"/>
  <c r="J120" i="35"/>
  <c r="L181" i="35"/>
  <c r="N62" i="35"/>
  <c r="L198" i="35"/>
  <c r="N45" i="35"/>
  <c r="G117" i="35"/>
  <c r="O145" i="35"/>
  <c r="P55" i="35"/>
  <c r="M187" i="35"/>
  <c r="M196" i="35"/>
  <c r="I67" i="35"/>
  <c r="I208" i="35"/>
  <c r="H212" i="35"/>
  <c r="O91" i="35"/>
  <c r="I26" i="35"/>
  <c r="D138" i="35"/>
  <c r="M206" i="35"/>
  <c r="M60" i="35"/>
  <c r="K99" i="35"/>
  <c r="M34" i="35"/>
  <c r="P207" i="35"/>
  <c r="H171" i="35"/>
  <c r="H80" i="35"/>
  <c r="E201" i="35"/>
  <c r="J55" i="35"/>
  <c r="K218" i="35"/>
  <c r="F128" i="35"/>
  <c r="L219" i="35"/>
  <c r="P68" i="35"/>
  <c r="M22" i="35"/>
  <c r="L105" i="35"/>
  <c r="L34" i="35"/>
  <c r="O19" i="35"/>
  <c r="H154" i="35"/>
  <c r="P95" i="35"/>
  <c r="E40" i="35"/>
  <c r="I99" i="35"/>
  <c r="D209" i="35"/>
  <c r="D82" i="35"/>
  <c r="E38" i="35"/>
  <c r="I45" i="35"/>
  <c r="J106" i="35"/>
  <c r="J121" i="35"/>
  <c r="G64" i="35"/>
  <c r="I93" i="35"/>
  <c r="M55" i="35"/>
  <c r="H147" i="35"/>
  <c r="N174" i="35"/>
  <c r="F60" i="35"/>
  <c r="M137" i="35"/>
  <c r="N28" i="35"/>
  <c r="L93" i="35"/>
  <c r="P183" i="35"/>
  <c r="O172" i="35"/>
  <c r="F117" i="35"/>
  <c r="E221" i="35"/>
  <c r="O92" i="35"/>
  <c r="K56" i="35"/>
  <c r="N10" i="35"/>
  <c r="E30" i="35"/>
  <c r="L112" i="35"/>
  <c r="O40" i="35"/>
  <c r="E144" i="35"/>
  <c r="N187" i="35"/>
  <c r="D183" i="35"/>
  <c r="M192" i="35"/>
  <c r="D56" i="35"/>
  <c r="H52" i="35"/>
  <c r="F206" i="35"/>
  <c r="D73" i="35"/>
  <c r="M136" i="35"/>
  <c r="N97" i="35"/>
  <c r="F29" i="35"/>
  <c r="M72" i="35"/>
  <c r="E52" i="35"/>
  <c r="I50" i="35"/>
  <c r="L62" i="35"/>
  <c r="N94" i="35"/>
  <c r="P169" i="35"/>
  <c r="G169" i="35"/>
  <c r="D126" i="35"/>
  <c r="J212" i="35"/>
  <c r="L69" i="35"/>
  <c r="L149" i="35"/>
  <c r="E9" i="35"/>
  <c r="H121" i="35"/>
  <c r="H101" i="35"/>
  <c r="P157" i="35"/>
  <c r="M82" i="35"/>
  <c r="K128" i="35"/>
  <c r="G14" i="35"/>
  <c r="K170" i="35"/>
  <c r="H18" i="35"/>
  <c r="N103" i="35"/>
  <c r="M68" i="35"/>
  <c r="F192" i="35"/>
  <c r="G58" i="35"/>
  <c r="P120" i="35"/>
  <c r="E170" i="35"/>
  <c r="L217" i="35"/>
  <c r="O67" i="35"/>
  <c r="H39" i="35"/>
  <c r="D65" i="35"/>
  <c r="E107" i="35"/>
  <c r="H55" i="35"/>
  <c r="K49" i="35"/>
  <c r="F216" i="35"/>
  <c r="E28" i="35"/>
  <c r="D27" i="35"/>
  <c r="O203" i="35"/>
  <c r="F21" i="35"/>
  <c r="E154" i="35"/>
  <c r="M113" i="35"/>
  <c r="K164" i="35"/>
  <c r="L221" i="35"/>
  <c r="P150" i="35"/>
  <c r="M213" i="35"/>
  <c r="O36" i="35"/>
  <c r="D216" i="35"/>
  <c r="H174" i="35"/>
  <c r="N95" i="35"/>
  <c r="J213" i="35"/>
  <c r="N123" i="35"/>
  <c r="G75" i="35"/>
  <c r="D200" i="35"/>
  <c r="G94" i="35"/>
  <c r="G86" i="35"/>
  <c r="N153" i="35"/>
  <c r="F24" i="35"/>
  <c r="M153" i="35"/>
  <c r="M11" i="35"/>
  <c r="E70" i="35"/>
  <c r="L51" i="35"/>
  <c r="F182" i="35"/>
  <c r="N132" i="35"/>
  <c r="F161" i="35"/>
  <c r="I62" i="35"/>
  <c r="K123" i="35"/>
  <c r="C171" i="35"/>
  <c r="L191" i="35"/>
  <c r="F34" i="35"/>
  <c r="E116" i="35"/>
  <c r="P36" i="35"/>
  <c r="F66" i="35"/>
  <c r="G140" i="35"/>
  <c r="F61" i="35"/>
  <c r="N193" i="35"/>
  <c r="F95" i="35"/>
  <c r="N154" i="35"/>
  <c r="P158" i="35"/>
  <c r="J215" i="35"/>
  <c r="P24" i="35"/>
  <c r="P145" i="35"/>
  <c r="D80" i="35"/>
  <c r="D67" i="35"/>
  <c r="J95" i="35"/>
  <c r="P45" i="35"/>
  <c r="E91" i="35"/>
  <c r="K169" i="35"/>
  <c r="D127" i="35"/>
  <c r="I109" i="35"/>
  <c r="D98" i="35"/>
  <c r="J107" i="35"/>
  <c r="H109" i="35"/>
  <c r="J139" i="35"/>
  <c r="M195" i="35"/>
  <c r="K14" i="35"/>
  <c r="J49" i="35"/>
  <c r="K73" i="35"/>
  <c r="M139" i="35"/>
  <c r="I59" i="35"/>
  <c r="M58" i="35"/>
  <c r="D137" i="35"/>
  <c r="P109" i="35"/>
  <c r="N40" i="35"/>
  <c r="E39" i="35"/>
  <c r="P19" i="35"/>
  <c r="D44" i="35"/>
  <c r="E155" i="35"/>
  <c r="K91" i="35"/>
  <c r="G72" i="35"/>
  <c r="J175" i="35"/>
  <c r="F100" i="35"/>
  <c r="I168" i="35"/>
  <c r="K22" i="35"/>
  <c r="M205" i="35"/>
  <c r="P96" i="35"/>
  <c r="N79" i="35"/>
  <c r="L103" i="35"/>
  <c r="G158" i="35"/>
  <c r="H108" i="35"/>
  <c r="J74" i="35"/>
  <c r="M174" i="35"/>
  <c r="H206" i="35"/>
  <c r="C109" i="35"/>
  <c r="L20" i="35"/>
  <c r="H106" i="35"/>
  <c r="D192" i="35"/>
  <c r="K112" i="35"/>
  <c r="E137" i="35"/>
  <c r="M200" i="35"/>
  <c r="H74" i="35"/>
  <c r="K69" i="35"/>
  <c r="C168" i="35"/>
  <c r="P147" i="35"/>
  <c r="E45" i="35"/>
  <c r="H107" i="35"/>
  <c r="H73" i="35"/>
  <c r="F56" i="35"/>
  <c r="H199" i="35"/>
  <c r="P74" i="35"/>
  <c r="J174" i="35"/>
  <c r="J162" i="35"/>
  <c r="G93" i="35"/>
  <c r="F57" i="35"/>
  <c r="N93" i="35"/>
  <c r="L197" i="35"/>
  <c r="N35" i="35"/>
  <c r="N106" i="35"/>
  <c r="C72" i="35"/>
  <c r="D109" i="35"/>
  <c r="D118" i="35"/>
  <c r="F217" i="35"/>
  <c r="I214" i="35"/>
  <c r="F207" i="35"/>
  <c r="M107" i="35"/>
  <c r="I36" i="35"/>
  <c r="G138" i="35"/>
  <c r="L35" i="35"/>
  <c r="H182" i="35"/>
  <c r="O94" i="35"/>
  <c r="I177" i="35"/>
  <c r="F190" i="35"/>
  <c r="G145" i="35"/>
  <c r="C95" i="35"/>
  <c r="O52" i="35"/>
  <c r="H25" i="35"/>
  <c r="H138" i="35"/>
  <c r="N53" i="35"/>
  <c r="H44" i="35"/>
  <c r="E99" i="35"/>
  <c r="M144" i="35"/>
  <c r="L212" i="35"/>
  <c r="N118" i="35"/>
  <c r="K78" i="35"/>
  <c r="P61" i="35"/>
  <c r="G85" i="35"/>
  <c r="F106" i="35"/>
  <c r="D71" i="35"/>
  <c r="H117" i="35"/>
  <c r="C170" i="35"/>
  <c r="J75" i="35"/>
  <c r="J117" i="35"/>
  <c r="H184" i="35"/>
  <c r="N74" i="35"/>
  <c r="D128" i="35"/>
  <c r="D198" i="35"/>
  <c r="P112" i="35"/>
  <c r="K154" i="35"/>
  <c r="P14" i="35"/>
  <c r="E191" i="35"/>
  <c r="J66" i="35"/>
  <c r="J98" i="35"/>
  <c r="M49" i="35"/>
  <c r="I172" i="35"/>
  <c r="M75" i="35"/>
  <c r="O184" i="35"/>
  <c r="P53" i="35"/>
  <c r="G12" i="35"/>
  <c r="M209" i="35"/>
  <c r="O113" i="35"/>
  <c r="F12" i="35"/>
  <c r="O215" i="35"/>
  <c r="E24" i="35"/>
  <c r="N23" i="35"/>
  <c r="I138" i="35"/>
  <c r="N21" i="35"/>
  <c r="F140" i="35"/>
  <c r="F97" i="35"/>
  <c r="J38" i="35"/>
  <c r="J192" i="35"/>
  <c r="L164" i="35"/>
  <c r="G101" i="35"/>
  <c r="N72" i="35"/>
  <c r="E34" i="35"/>
  <c r="G149" i="35"/>
  <c r="L43" i="35"/>
  <c r="K101" i="35"/>
  <c r="J11" i="35"/>
  <c r="P131" i="35"/>
  <c r="O31" i="35"/>
  <c r="P58" i="35"/>
  <c r="D69" i="35"/>
  <c r="K213" i="35"/>
  <c r="E120" i="35"/>
  <c r="H157" i="35"/>
  <c r="F208" i="35"/>
  <c r="D19" i="35"/>
  <c r="O141" i="35"/>
  <c r="C174" i="35"/>
  <c r="F122" i="35"/>
  <c r="J154" i="35"/>
  <c r="I40" i="35"/>
  <c r="J170" i="35"/>
  <c r="P181" i="35"/>
  <c r="J131" i="35"/>
  <c r="D148" i="35"/>
  <c r="N199" i="35"/>
  <c r="F200" i="35"/>
  <c r="I101" i="35"/>
  <c r="H177" i="35"/>
  <c r="I154" i="35"/>
  <c r="N11" i="35"/>
  <c r="I155" i="35"/>
  <c r="H45" i="35"/>
  <c r="H136" i="35"/>
  <c r="C104" i="35"/>
  <c r="N98" i="35"/>
  <c r="N49" i="35"/>
  <c r="F126" i="35"/>
  <c r="D147" i="35"/>
  <c r="F191" i="35"/>
  <c r="L130" i="35"/>
  <c r="N107" i="35"/>
  <c r="G182" i="35"/>
  <c r="D190" i="35"/>
  <c r="P106" i="35"/>
  <c r="N172" i="35"/>
  <c r="I100" i="35"/>
  <c r="M197" i="35"/>
  <c r="C108" i="35"/>
  <c r="F220" i="35"/>
  <c r="L82" i="35"/>
  <c r="J57" i="35"/>
  <c r="P87" i="35"/>
  <c r="J80" i="35"/>
  <c r="J197" i="35"/>
  <c r="L214" i="35"/>
  <c r="N215" i="35"/>
  <c r="I141" i="35"/>
  <c r="O118" i="35"/>
  <c r="D95" i="35"/>
  <c r="N182" i="35"/>
  <c r="G52" i="35"/>
  <c r="E66" i="35"/>
  <c r="G61" i="35"/>
  <c r="E18" i="35"/>
  <c r="G203" i="35"/>
  <c r="K168" i="35"/>
  <c r="J116" i="35"/>
  <c r="F144" i="35"/>
  <c r="I34" i="35"/>
  <c r="O170" i="35"/>
  <c r="G174" i="35"/>
  <c r="F75" i="35"/>
  <c r="D214" i="35"/>
  <c r="J206" i="35"/>
  <c r="K86" i="35"/>
  <c r="N173" i="35"/>
  <c r="K147" i="35"/>
  <c r="I57" i="35"/>
  <c r="O192" i="35"/>
  <c r="D175" i="35"/>
  <c r="G220" i="35"/>
  <c r="K59" i="35"/>
  <c r="P201" i="35"/>
  <c r="H60" i="35"/>
  <c r="N63" i="35"/>
  <c r="D169" i="35"/>
  <c r="I116" i="35"/>
  <c r="O43" i="35"/>
  <c r="E212" i="35"/>
  <c r="D144" i="35"/>
  <c r="H58" i="35"/>
  <c r="I19" i="35"/>
  <c r="K54" i="35"/>
  <c r="P144" i="35"/>
  <c r="G43" i="35"/>
  <c r="O163" i="35"/>
  <c r="I114" i="35"/>
  <c r="P22" i="35"/>
  <c r="D99" i="35"/>
  <c r="M99" i="35"/>
  <c r="N55" i="35"/>
  <c r="H131" i="35"/>
  <c r="I72" i="35"/>
  <c r="K24" i="35"/>
  <c r="O162" i="35"/>
  <c r="C99" i="35"/>
  <c r="H35" i="35"/>
  <c r="P156" i="35"/>
  <c r="E102" i="35"/>
  <c r="G21" i="35"/>
  <c r="L98" i="35"/>
  <c r="K108" i="35"/>
  <c r="I25" i="35"/>
  <c r="L163" i="35"/>
  <c r="L44" i="35"/>
  <c r="P140" i="35"/>
  <c r="I12" i="35"/>
  <c r="O100" i="35"/>
  <c r="M182" i="35"/>
  <c r="O107" i="35"/>
  <c r="M202" i="35"/>
  <c r="M20" i="35"/>
  <c r="P49" i="35"/>
  <c r="F101" i="35"/>
  <c r="G87" i="35"/>
  <c r="H122" i="35"/>
  <c r="G118" i="35"/>
  <c r="H50" i="35"/>
  <c r="M61" i="35"/>
  <c r="J138" i="35"/>
  <c r="K18" i="35"/>
  <c r="P66" i="35"/>
  <c r="E163" i="35"/>
  <c r="I68" i="35"/>
  <c r="I87" i="35"/>
  <c r="I103" i="35"/>
  <c r="P101" i="35"/>
  <c r="J204" i="35"/>
  <c r="E196" i="35"/>
  <c r="P86" i="35"/>
  <c r="N96" i="35"/>
  <c r="H62" i="35"/>
  <c r="D23" i="35"/>
  <c r="E60" i="35"/>
  <c r="M53" i="35"/>
  <c r="E94" i="35"/>
  <c r="F67" i="35"/>
  <c r="M44" i="35"/>
  <c r="E17" i="35"/>
  <c r="M220" i="35"/>
  <c r="G126" i="35"/>
  <c r="H57" i="35"/>
  <c r="F180" i="35"/>
  <c r="G51" i="35"/>
  <c r="I219" i="35"/>
  <c r="K204" i="35"/>
  <c r="F138" i="35"/>
  <c r="D11" i="35"/>
  <c r="L14" i="35"/>
  <c r="J10" i="35"/>
  <c r="P43" i="35"/>
  <c r="D140" i="35"/>
  <c r="D36" i="35"/>
  <c r="C101" i="35"/>
  <c r="D222" i="35"/>
  <c r="G69" i="35"/>
  <c r="E182" i="35"/>
  <c r="P122" i="35"/>
  <c r="E199" i="35"/>
  <c r="N19" i="35"/>
  <c r="I14" i="35"/>
  <c r="L132" i="35"/>
  <c r="P141" i="35"/>
  <c r="L139" i="35"/>
  <c r="N216" i="35"/>
  <c r="J56" i="35"/>
  <c r="C97" i="35"/>
  <c r="L145" i="35"/>
  <c r="P91" i="35"/>
  <c r="F156" i="35"/>
  <c r="I39" i="35"/>
  <c r="G175" i="35"/>
  <c r="H214" i="35"/>
  <c r="F171" i="35"/>
  <c r="N31" i="35"/>
  <c r="I222" i="35"/>
  <c r="O169" i="35"/>
  <c r="F87" i="35"/>
  <c r="E209" i="35"/>
  <c r="P162" i="35"/>
  <c r="J115" i="35"/>
  <c r="D115" i="35"/>
  <c r="N197" i="35"/>
  <c r="K194" i="35"/>
  <c r="N43" i="35"/>
  <c r="L203" i="35"/>
  <c r="J24" i="35"/>
  <c r="O180" i="35"/>
  <c r="P173" i="35"/>
  <c r="P190" i="35"/>
  <c r="O149" i="35"/>
  <c r="N164" i="35"/>
  <c r="G120" i="35"/>
  <c r="E139" i="35"/>
  <c r="L119" i="35"/>
  <c r="N158" i="35"/>
  <c r="P180" i="35"/>
  <c r="E93" i="35"/>
  <c r="M18" i="35"/>
  <c r="N176" i="35"/>
  <c r="F141" i="35"/>
  <c r="G181" i="35"/>
  <c r="O72" i="35"/>
  <c r="J220" i="35"/>
  <c r="E51" i="35"/>
  <c r="K11" i="35"/>
  <c r="I195" i="35"/>
  <c r="K10" i="35"/>
  <c r="J123" i="35"/>
  <c r="O102" i="35"/>
  <c r="D131" i="35"/>
  <c r="H20" i="35"/>
  <c r="F82" i="35"/>
  <c r="N139" i="35"/>
  <c r="O12" i="35"/>
  <c r="E26" i="35"/>
  <c r="C94" i="35"/>
  <c r="D215" i="35"/>
  <c r="L114" i="35"/>
  <c r="E72" i="35"/>
  <c r="N37" i="35"/>
  <c r="K80" i="35"/>
  <c r="P174" i="35"/>
  <c r="O220" i="35"/>
  <c r="F20" i="35"/>
  <c r="L96" i="35"/>
  <c r="F132" i="35"/>
  <c r="L121" i="35"/>
  <c r="I61" i="35"/>
  <c r="K40" i="35"/>
  <c r="M9" i="35"/>
  <c r="L195" i="35"/>
  <c r="F212" i="35"/>
  <c r="L176" i="35"/>
  <c r="F146" i="35"/>
  <c r="D206" i="35"/>
  <c r="H71" i="35"/>
  <c r="E108" i="35"/>
  <c r="K153" i="35"/>
  <c r="M175" i="35"/>
  <c r="L199" i="35"/>
  <c r="H145" i="35"/>
  <c r="N219" i="35"/>
  <c r="J12" i="35"/>
  <c r="G29" i="35"/>
  <c r="J144" i="35"/>
  <c r="G73" i="35"/>
  <c r="J30" i="35"/>
  <c r="J133" i="35"/>
  <c r="L136" i="35"/>
  <c r="E62" i="35"/>
  <c r="F119" i="35"/>
  <c r="F98" i="35"/>
  <c r="H155" i="35"/>
  <c r="H63" i="35"/>
  <c r="I66" i="35"/>
  <c r="O126" i="35"/>
  <c r="G27" i="35"/>
  <c r="F63" i="35"/>
  <c r="K35" i="35"/>
  <c r="J104" i="35"/>
  <c r="H170" i="35"/>
  <c r="N117" i="35"/>
  <c r="P184" i="35"/>
  <c r="M40" i="35"/>
  <c r="O86" i="35"/>
  <c r="E129" i="35"/>
  <c r="K207" i="35"/>
  <c r="P114" i="35"/>
  <c r="P221" i="35"/>
  <c r="J78" i="35"/>
  <c r="J119" i="35"/>
  <c r="D106" i="35"/>
  <c r="K94" i="35"/>
  <c r="M91" i="35"/>
  <c r="H150" i="35"/>
  <c r="I58" i="35"/>
  <c r="P215" i="35"/>
  <c r="D207" i="35"/>
  <c r="I130" i="35"/>
  <c r="F51" i="35"/>
  <c r="K191" i="35"/>
  <c r="N70" i="35"/>
  <c r="M78" i="35"/>
  <c r="F11" i="35"/>
  <c r="D26" i="35"/>
  <c r="P100" i="35"/>
  <c r="F81" i="35"/>
  <c r="F139" i="35"/>
  <c r="C105" i="35"/>
  <c r="L63" i="35"/>
  <c r="H132" i="35"/>
  <c r="I191" i="35"/>
  <c r="I209" i="35"/>
  <c r="J101" i="35"/>
  <c r="J92" i="35"/>
  <c r="O147" i="35"/>
  <c r="N217" i="35"/>
  <c r="P25" i="35"/>
  <c r="O37" i="35"/>
  <c r="M169" i="35"/>
  <c r="N175" i="35"/>
  <c r="G103" i="35"/>
  <c r="E181" i="35"/>
  <c r="F65" i="35"/>
  <c r="D43" i="35"/>
  <c r="I85" i="35"/>
  <c r="I80" i="35"/>
  <c r="J72" i="35"/>
  <c r="G200" i="35"/>
  <c r="O206" i="35"/>
  <c r="O14" i="35"/>
  <c r="L122" i="35"/>
  <c r="P208" i="35"/>
  <c r="H102" i="35"/>
  <c r="O138" i="35"/>
  <c r="E217" i="35"/>
  <c r="O75" i="35"/>
  <c r="F121" i="35"/>
  <c r="G184" i="35"/>
  <c r="K167" i="35"/>
  <c r="E98" i="35"/>
  <c r="H64" i="35"/>
  <c r="E105" i="35"/>
  <c r="F187" i="35"/>
  <c r="P187" i="35"/>
  <c r="D58" i="35"/>
  <c r="F64" i="35"/>
  <c r="E113" i="35"/>
  <c r="I181" i="35"/>
  <c r="D172" i="35"/>
  <c r="E36" i="35"/>
  <c r="E53" i="35"/>
  <c r="M157" i="35"/>
  <c r="K79" i="35"/>
  <c r="O54" i="35"/>
  <c r="P72" i="35"/>
  <c r="J209" i="35"/>
  <c r="L30" i="35"/>
  <c r="H115" i="35"/>
  <c r="P18" i="35"/>
  <c r="J128" i="35"/>
  <c r="E162" i="35"/>
  <c r="J23" i="35"/>
  <c r="P64" i="35"/>
  <c r="N116" i="35"/>
  <c r="L36" i="35"/>
  <c r="P56" i="35"/>
  <c r="I11" i="35"/>
  <c r="E19" i="35"/>
  <c r="C172" i="35"/>
  <c r="M67" i="35"/>
  <c r="C177" i="35"/>
  <c r="I37" i="35"/>
  <c r="P195" i="35"/>
  <c r="F96" i="35"/>
  <c r="K25" i="35"/>
  <c r="C106" i="35"/>
  <c r="E56" i="35"/>
  <c r="O99" i="35"/>
  <c r="J20" i="35"/>
  <c r="F19" i="35"/>
  <c r="P182" i="35"/>
  <c r="J99" i="35"/>
  <c r="D220" i="35"/>
  <c r="F213" i="35"/>
  <c r="G17" i="35"/>
  <c r="K195" i="35"/>
  <c r="C176" i="35"/>
  <c r="D18" i="35"/>
  <c r="I44" i="35"/>
  <c r="H168" i="35"/>
  <c r="P37" i="35"/>
  <c r="N85" i="35"/>
  <c r="M92" i="35"/>
  <c r="E130" i="35"/>
  <c r="J18" i="35"/>
  <c r="G192" i="35"/>
  <c r="G102" i="35"/>
  <c r="M127" i="35"/>
  <c r="G129" i="35"/>
  <c r="C167" i="35"/>
  <c r="C96" i="35"/>
  <c r="F215" i="35"/>
  <c r="I216" i="35"/>
  <c r="I56" i="35"/>
  <c r="H123" i="35"/>
  <c r="J205" i="35"/>
  <c r="O212" i="35"/>
  <c r="G128" i="35"/>
  <c r="L56" i="35"/>
  <c r="E147" i="35"/>
  <c r="P17" i="35"/>
  <c r="L87" i="35"/>
  <c r="D50" i="35"/>
  <c r="L138" i="35"/>
  <c r="N140" i="35"/>
  <c r="J182" i="35"/>
  <c r="J148" i="35"/>
  <c r="K172" i="35"/>
  <c r="G141" i="35"/>
  <c r="D158" i="35"/>
  <c r="G217" i="35"/>
  <c r="E22" i="35"/>
  <c r="G153" i="35"/>
  <c r="J155" i="35"/>
  <c r="N17" i="35"/>
  <c r="F214" i="35"/>
  <c r="E81" i="35"/>
  <c r="L102" i="35"/>
  <c r="P129" i="35"/>
  <c r="M128" i="35"/>
  <c r="L168" i="35"/>
  <c r="N105" i="35"/>
  <c r="M27" i="35"/>
  <c r="E31" i="35"/>
  <c r="I91" i="35"/>
  <c r="L39" i="35"/>
  <c r="O56" i="35"/>
  <c r="O217" i="35"/>
  <c r="L79" i="35"/>
  <c r="O25" i="35"/>
  <c r="J140" i="35"/>
  <c r="M203" i="35"/>
  <c r="P28" i="35"/>
  <c r="K118" i="35"/>
  <c r="O213" i="35"/>
  <c r="D155" i="35"/>
  <c r="P79" i="35"/>
  <c r="G31" i="35"/>
  <c r="I171" i="35"/>
  <c r="C103" i="35"/>
  <c r="M130" i="35"/>
  <c r="J183" i="35"/>
  <c r="E175" i="35"/>
  <c r="G26" i="35"/>
  <c r="O146" i="35"/>
  <c r="P31" i="35"/>
  <c r="D171" i="35"/>
  <c r="I147" i="35"/>
  <c r="P200" i="35"/>
  <c r="G121" i="35"/>
  <c r="I207" i="35"/>
  <c r="L37" i="35"/>
  <c r="J146" i="35"/>
  <c r="K64" i="35"/>
  <c r="H85" i="35"/>
  <c r="J68" i="35"/>
  <c r="L72" i="35"/>
  <c r="K66" i="35"/>
  <c r="L80" i="35"/>
  <c r="J181" i="35"/>
  <c r="O101" i="35"/>
  <c r="F167" i="35"/>
  <c r="G196" i="35"/>
  <c r="P30" i="35"/>
  <c r="O73" i="35"/>
  <c r="I132" i="35"/>
  <c r="J9" i="35"/>
  <c r="G24" i="35"/>
  <c r="P10" i="35"/>
  <c r="O103" i="35"/>
  <c r="K71" i="35"/>
  <c r="P128" i="35"/>
  <c r="G113" i="35"/>
  <c r="C107" i="35"/>
  <c r="J126" i="35"/>
  <c r="H181" i="35"/>
  <c r="K105" i="35"/>
  <c r="F68" i="35"/>
  <c r="D123" i="35"/>
  <c r="G37" i="35"/>
  <c r="C169" i="35"/>
  <c r="N192" i="35"/>
  <c r="M96" i="35"/>
  <c r="M13" i="35"/>
  <c r="I71" i="35"/>
  <c r="J44" i="35"/>
  <c r="O9" i="35"/>
  <c r="M104" i="35"/>
  <c r="F193" i="35"/>
  <c r="M71" i="35"/>
  <c r="L126" i="35"/>
  <c r="D161" i="35"/>
  <c r="P138" i="35"/>
  <c r="K93" i="35"/>
  <c r="O122" i="35"/>
  <c r="G9" i="35"/>
  <c r="I218" i="35"/>
  <c r="E12" i="35"/>
  <c r="H190" i="35"/>
  <c r="M87" i="35"/>
  <c r="J163" i="35"/>
  <c r="K149" i="35"/>
  <c r="J150" i="35"/>
  <c r="K217" i="35"/>
  <c r="J70" i="35"/>
  <c r="J28" i="35"/>
  <c r="K58" i="35"/>
  <c r="H93" i="35"/>
  <c r="H51" i="35"/>
  <c r="E74" i="35"/>
  <c r="D145" i="35"/>
  <c r="P26" i="35"/>
  <c r="I96" i="35"/>
  <c r="E106" i="35"/>
  <c r="D104" i="35"/>
  <c r="M155" i="35"/>
  <c r="G66" i="35"/>
  <c r="H31" i="35"/>
  <c r="Q67" i="87" l="1"/>
  <c r="F218" i="87" s="1"/>
  <c r="C40" i="30"/>
  <c r="F35" i="87" s="1"/>
  <c r="C39" i="30"/>
  <c r="F34" i="87" s="1"/>
  <c r="F32" i="87"/>
  <c r="C31" i="30"/>
  <c r="F36" i="87" s="1"/>
  <c r="C10" i="35"/>
  <c r="F33" i="87" l="1"/>
  <c r="F31" i="87"/>
  <c r="C30" i="30"/>
  <c r="F265" i="87"/>
  <c r="K19" i="87"/>
  <c r="K20" i="87"/>
  <c r="K21" i="87"/>
  <c r="K16" i="87"/>
  <c r="K52" i="30" l="1"/>
  <c r="K55" i="30"/>
  <c r="O35" i="87" s="1"/>
  <c r="K53" i="30"/>
  <c r="Q35" i="87" l="1"/>
  <c r="J52" i="30"/>
  <c r="O36" i="87" s="1"/>
  <c r="E161" i="87"/>
  <c r="I52" i="30" l="1"/>
  <c r="Q36" i="87"/>
  <c r="F330" i="87"/>
  <c r="F329" i="87"/>
  <c r="F328" i="87"/>
  <c r="F327" i="87"/>
  <c r="F326" i="87"/>
  <c r="F325" i="87"/>
  <c r="F324" i="87"/>
  <c r="F323" i="87"/>
  <c r="F322" i="87"/>
  <c r="F321" i="87"/>
  <c r="F320" i="87"/>
  <c r="F319" i="87"/>
  <c r="F298" i="87"/>
  <c r="E74" i="87"/>
  <c r="E52" i="30"/>
  <c r="E51" i="30"/>
  <c r="E50" i="30"/>
  <c r="E76" i="87" s="1"/>
  <c r="C115" i="35"/>
  <c r="C112" i="35"/>
  <c r="C91" i="35"/>
  <c r="C123" i="35"/>
  <c r="C122" i="35"/>
  <c r="C119" i="35"/>
  <c r="C92" i="35"/>
  <c r="C118" i="35"/>
  <c r="C114" i="35"/>
  <c r="C116" i="35"/>
  <c r="C117" i="35"/>
  <c r="C113" i="35"/>
  <c r="C120" i="35"/>
  <c r="C121" i="35"/>
  <c r="B87" i="35" l="1"/>
  <c r="B86" i="35"/>
  <c r="B82" i="35"/>
  <c r="B81" i="35"/>
  <c r="B14" i="35"/>
  <c r="B13" i="35"/>
  <c r="E428" i="87" l="1"/>
  <c r="A428" i="87"/>
  <c r="H428" i="87" s="1"/>
  <c r="E427" i="87"/>
  <c r="A427" i="87"/>
  <c r="F427" i="87" s="1"/>
  <c r="E426" i="87"/>
  <c r="A426" i="87"/>
  <c r="E425" i="87"/>
  <c r="A425" i="87"/>
  <c r="H425" i="87" s="1"/>
  <c r="E424" i="87"/>
  <c r="A424" i="87"/>
  <c r="H424" i="87" s="1"/>
  <c r="E423" i="87"/>
  <c r="A423" i="87"/>
  <c r="F423" i="87" s="1"/>
  <c r="E422" i="87"/>
  <c r="A422" i="87"/>
  <c r="H422" i="87" s="1"/>
  <c r="E421" i="87"/>
  <c r="A421" i="87"/>
  <c r="F421" i="87" s="1"/>
  <c r="E420" i="87"/>
  <c r="A420" i="87"/>
  <c r="E419" i="87"/>
  <c r="A419" i="87"/>
  <c r="F419" i="87" s="1"/>
  <c r="E418" i="87"/>
  <c r="A418" i="87"/>
  <c r="H418" i="87" s="1"/>
  <c r="E417" i="87"/>
  <c r="A417" i="87"/>
  <c r="E414" i="87"/>
  <c r="A414" i="87"/>
  <c r="F414" i="87" s="1"/>
  <c r="E413" i="87"/>
  <c r="A413" i="87"/>
  <c r="F413" i="87" s="1"/>
  <c r="E412" i="87"/>
  <c r="A412" i="87"/>
  <c r="F412" i="87" s="1"/>
  <c r="E411" i="87"/>
  <c r="A411" i="87"/>
  <c r="F411" i="87" s="1"/>
  <c r="E410" i="87"/>
  <c r="A410" i="87"/>
  <c r="F410" i="87" s="1"/>
  <c r="E409" i="87"/>
  <c r="A409" i="87"/>
  <c r="F409" i="87" s="1"/>
  <c r="E408" i="87"/>
  <c r="A408" i="87"/>
  <c r="F408" i="87" s="1"/>
  <c r="E407" i="87"/>
  <c r="A407" i="87"/>
  <c r="F407" i="87" s="1"/>
  <c r="E406" i="87"/>
  <c r="A406" i="87"/>
  <c r="F406" i="87" s="1"/>
  <c r="E405" i="87"/>
  <c r="A405" i="87"/>
  <c r="F405" i="87" s="1"/>
  <c r="E404" i="87"/>
  <c r="A404" i="87"/>
  <c r="F404" i="87" s="1"/>
  <c r="E403" i="87"/>
  <c r="A403" i="87"/>
  <c r="F403" i="87" s="1"/>
  <c r="E402" i="87"/>
  <c r="A402" i="87"/>
  <c r="F402" i="87" s="1"/>
  <c r="E401" i="87"/>
  <c r="A401" i="87"/>
  <c r="F401" i="87" s="1"/>
  <c r="E400" i="87"/>
  <c r="A400" i="87"/>
  <c r="F400" i="87" s="1"/>
  <c r="E399" i="87"/>
  <c r="A399" i="87"/>
  <c r="F399" i="87" s="1"/>
  <c r="E398" i="87"/>
  <c r="A398" i="87"/>
  <c r="F398" i="87" s="1"/>
  <c r="E397" i="87"/>
  <c r="A397" i="87"/>
  <c r="F397" i="87" s="1"/>
  <c r="E396" i="87"/>
  <c r="A396" i="87"/>
  <c r="F396" i="87" s="1"/>
  <c r="E395" i="87"/>
  <c r="A395" i="87"/>
  <c r="F395" i="87" s="1"/>
  <c r="F365" i="87"/>
  <c r="F364" i="87"/>
  <c r="F363" i="87"/>
  <c r="F361" i="87"/>
  <c r="F355" i="87"/>
  <c r="F354" i="87"/>
  <c r="F353" i="87"/>
  <c r="F352" i="87"/>
  <c r="F351" i="87"/>
  <c r="F338" i="87"/>
  <c r="F337" i="87"/>
  <c r="F335" i="87"/>
  <c r="F294" i="87"/>
  <c r="F293" i="87"/>
  <c r="F289" i="87"/>
  <c r="F280" i="87"/>
  <c r="F253" i="87"/>
  <c r="F252" i="87"/>
  <c r="F248" i="87"/>
  <c r="F247" i="87"/>
  <c r="F246" i="87"/>
  <c r="F245" i="87"/>
  <c r="F244" i="87"/>
  <c r="F243" i="87"/>
  <c r="F242" i="87"/>
  <c r="F239" i="87"/>
  <c r="F238" i="87"/>
  <c r="F222" i="87"/>
  <c r="F221" i="87"/>
  <c r="F217" i="87"/>
  <c r="E172" i="87"/>
  <c r="A172" i="87"/>
  <c r="E171" i="87"/>
  <c r="A171" i="87"/>
  <c r="E170" i="87"/>
  <c r="A170" i="87"/>
  <c r="E169" i="87"/>
  <c r="A169" i="87"/>
  <c r="E162" i="87"/>
  <c r="A162" i="87"/>
  <c r="A161" i="87"/>
  <c r="Q164" i="87"/>
  <c r="E151" i="87"/>
  <c r="A151" i="87"/>
  <c r="E150" i="87"/>
  <c r="A150" i="87"/>
  <c r="B143" i="87"/>
  <c r="E131" i="87"/>
  <c r="E130" i="87"/>
  <c r="C130" i="87"/>
  <c r="E129" i="87"/>
  <c r="C129" i="87"/>
  <c r="E128" i="87"/>
  <c r="C128" i="87"/>
  <c r="E127" i="87"/>
  <c r="C127" i="87"/>
  <c r="E126" i="87"/>
  <c r="C126" i="87"/>
  <c r="E125" i="87"/>
  <c r="C125" i="87"/>
  <c r="E124" i="87"/>
  <c r="C124" i="87"/>
  <c r="E123" i="87"/>
  <c r="C123" i="87"/>
  <c r="E116" i="87"/>
  <c r="E115" i="87"/>
  <c r="E114" i="87"/>
  <c r="E113" i="87"/>
  <c r="E112" i="87"/>
  <c r="E111" i="87"/>
  <c r="E110" i="87"/>
  <c r="E109" i="87"/>
  <c r="E91" i="87"/>
  <c r="E90" i="87"/>
  <c r="E89" i="87"/>
  <c r="E88" i="87"/>
  <c r="E87" i="87"/>
  <c r="E86" i="87"/>
  <c r="E85" i="87"/>
  <c r="E84" i="87"/>
  <c r="E83" i="87"/>
  <c r="E82" i="87"/>
  <c r="E81" i="87"/>
  <c r="E80" i="87"/>
  <c r="E79" i="87"/>
  <c r="E78" i="87"/>
  <c r="F334" i="87"/>
  <c r="G60" i="87"/>
  <c r="G59" i="87"/>
  <c r="G58" i="87"/>
  <c r="P57" i="87"/>
  <c r="G57" i="87"/>
  <c r="Q56" i="87"/>
  <c r="E56" i="87"/>
  <c r="G56" i="87" s="1"/>
  <c r="R55" i="87"/>
  <c r="E55" i="87"/>
  <c r="G55" i="87" s="1"/>
  <c r="Q54" i="87"/>
  <c r="R54" i="87" s="1"/>
  <c r="E54" i="87"/>
  <c r="G54" i="87" s="1"/>
  <c r="Q53" i="87"/>
  <c r="R53" i="87" s="1"/>
  <c r="E53" i="87"/>
  <c r="G53" i="87" s="1"/>
  <c r="H38" i="87"/>
  <c r="H37" i="87"/>
  <c r="H36" i="87"/>
  <c r="F235" i="87" s="1"/>
  <c r="H35" i="87"/>
  <c r="F237" i="87" s="1"/>
  <c r="H34" i="87"/>
  <c r="F232" i="87" s="1"/>
  <c r="H33" i="87"/>
  <c r="F227" i="87" s="1"/>
  <c r="H32" i="87"/>
  <c r="H31" i="87"/>
  <c r="F229" i="87" s="1"/>
  <c r="K4" i="87"/>
  <c r="K2" i="87"/>
  <c r="P1" i="87"/>
  <c r="C155" i="35"/>
  <c r="C11" i="35"/>
  <c r="C149" i="35"/>
  <c r="C45" i="35"/>
  <c r="C191" i="35"/>
  <c r="C196" i="35"/>
  <c r="C147" i="35"/>
  <c r="C146" i="35"/>
  <c r="C158" i="35"/>
  <c r="C128" i="35"/>
  <c r="C131" i="35"/>
  <c r="C148" i="35"/>
  <c r="C73" i="35"/>
  <c r="C193" i="35"/>
  <c r="C31" i="35"/>
  <c r="C14" i="35"/>
  <c r="C28" i="35"/>
  <c r="C154" i="35"/>
  <c r="C198" i="35"/>
  <c r="C204" i="35"/>
  <c r="C82" i="35"/>
  <c r="C9" i="35"/>
  <c r="C207" i="35"/>
  <c r="C38" i="35"/>
  <c r="C156" i="35"/>
  <c r="C30" i="35"/>
  <c r="C203" i="35"/>
  <c r="C157" i="35"/>
  <c r="C199" i="35"/>
  <c r="C36" i="35"/>
  <c r="C87" i="35"/>
  <c r="C201" i="35"/>
  <c r="C190" i="35"/>
  <c r="C195" i="35"/>
  <c r="C209" i="35"/>
  <c r="C35" i="35"/>
  <c r="C29" i="35"/>
  <c r="C39" i="35"/>
  <c r="C194" i="35"/>
  <c r="C206" i="35"/>
  <c r="C74" i="35"/>
  <c r="C200" i="35"/>
  <c r="C37" i="35"/>
  <c r="C192" i="35"/>
  <c r="C197" i="35"/>
  <c r="C208" i="35"/>
  <c r="C27" i="35"/>
  <c r="C205" i="35"/>
  <c r="C202" i="35"/>
  <c r="C145" i="35"/>
  <c r="C40" i="35"/>
  <c r="C144" i="35"/>
  <c r="C34" i="35"/>
  <c r="F231" i="87" l="1"/>
  <c r="F228" i="87"/>
  <c r="F226" i="87"/>
  <c r="F230" i="87"/>
  <c r="F287" i="87"/>
  <c r="F347" i="87"/>
  <c r="F346" i="87"/>
  <c r="F277" i="87"/>
  <c r="F267" i="87"/>
  <c r="Q57" i="87"/>
  <c r="R57" i="87"/>
  <c r="F233" i="87" s="1"/>
  <c r="F422" i="87"/>
  <c r="F266" i="87"/>
  <c r="F428" i="87"/>
  <c r="F420" i="87"/>
  <c r="F424" i="87"/>
  <c r="F426" i="87"/>
  <c r="F418" i="87"/>
  <c r="G65" i="87"/>
  <c r="F417" i="87"/>
  <c r="F425" i="87"/>
  <c r="H419" i="87"/>
  <c r="H421" i="87"/>
  <c r="H427" i="87"/>
  <c r="C215" i="35"/>
  <c r="C81" i="35"/>
  <c r="C130" i="35"/>
  <c r="C13" i="35"/>
  <c r="C214" i="35"/>
  <c r="C220" i="35"/>
  <c r="C223" i="35"/>
  <c r="C22" i="35"/>
  <c r="C216" i="35"/>
  <c r="C212" i="35"/>
  <c r="C20" i="35"/>
  <c r="C25" i="35"/>
  <c r="C217" i="35"/>
  <c r="C221" i="35"/>
  <c r="C218" i="35"/>
  <c r="C60" i="35"/>
  <c r="C23" i="35"/>
  <c r="C19" i="35"/>
  <c r="C21" i="35"/>
  <c r="C140" i="35"/>
  <c r="C213" i="35"/>
  <c r="C219" i="35"/>
  <c r="C71" i="35"/>
  <c r="C12" i="35"/>
  <c r="C127" i="35"/>
  <c r="C24" i="35"/>
  <c r="C222" i="35"/>
  <c r="C70" i="35"/>
  <c r="C59" i="35"/>
  <c r="G68" i="87" l="1"/>
  <c r="F385" i="87" s="1"/>
  <c r="F348" i="87"/>
  <c r="F275" i="87"/>
  <c r="C141" i="35"/>
  <c r="C69" i="35"/>
  <c r="C180" i="35"/>
  <c r="F389" i="87" l="1"/>
  <c r="F392" i="87"/>
  <c r="F387" i="87"/>
  <c r="F251" i="87"/>
  <c r="F225" i="87"/>
  <c r="F388" i="87"/>
  <c r="F386" i="87"/>
  <c r="F274" i="87"/>
  <c r="K1" i="30"/>
  <c r="C184" i="35"/>
  <c r="C183" i="35"/>
  <c r="C187" i="35"/>
  <c r="C43" i="35"/>
  <c r="C18" i="35"/>
  <c r="C181" i="35"/>
  <c r="C17" i="35"/>
  <c r="C44" i="35"/>
  <c r="C68" i="35"/>
  <c r="C182" i="35"/>
  <c r="F286" i="87" l="1"/>
  <c r="D28" i="61"/>
  <c r="C80" i="35"/>
  <c r="F345" i="87" l="1"/>
  <c r="B219" i="35"/>
  <c r="B220" i="35"/>
  <c r="B221" i="35"/>
  <c r="B222" i="35"/>
  <c r="B223" i="35"/>
  <c r="B218" i="35"/>
  <c r="A219" i="35"/>
  <c r="A220" i="35"/>
  <c r="A221" i="35"/>
  <c r="A222" i="35"/>
  <c r="A223" i="35"/>
  <c r="A218" i="35"/>
  <c r="J90" i="30"/>
  <c r="I90" i="30"/>
  <c r="H90" i="30"/>
  <c r="J89" i="30"/>
  <c r="I89" i="30"/>
  <c r="H89" i="30"/>
  <c r="J88" i="30"/>
  <c r="E108" i="87" s="1"/>
  <c r="H426" i="87" s="1"/>
  <c r="F368" i="87" s="1"/>
  <c r="I88" i="30"/>
  <c r="H88" i="30"/>
  <c r="J87" i="30"/>
  <c r="I87" i="30"/>
  <c r="H87" i="30"/>
  <c r="J86" i="30"/>
  <c r="I86" i="30"/>
  <c r="H86" i="30"/>
  <c r="J85" i="30"/>
  <c r="E107" i="87" s="1"/>
  <c r="H423" i="87" s="1"/>
  <c r="F367" i="87" s="1"/>
  <c r="I85" i="30"/>
  <c r="H85" i="30"/>
  <c r="J84" i="30"/>
  <c r="I84" i="30"/>
  <c r="H84" i="30"/>
  <c r="J83" i="30"/>
  <c r="I83" i="30"/>
  <c r="H83" i="30"/>
  <c r="J82" i="30"/>
  <c r="E106" i="87" s="1"/>
  <c r="H420" i="87" s="1"/>
  <c r="I82" i="30"/>
  <c r="H82" i="30"/>
  <c r="J81" i="30"/>
  <c r="I81" i="30"/>
  <c r="H81" i="30"/>
  <c r="C162" i="35"/>
  <c r="C139" i="35"/>
  <c r="C161" i="35"/>
  <c r="AQ18" i="64" l="1"/>
  <c r="AQ19" i="64" s="1"/>
  <c r="AQ17" i="64"/>
  <c r="AQ16" i="64"/>
  <c r="AQ14" i="64"/>
  <c r="AQ15" i="64" s="1"/>
  <c r="AQ13" i="64"/>
  <c r="AQ12" i="64"/>
  <c r="AR1" i="64"/>
  <c r="AC1" i="64"/>
  <c r="N1" i="64"/>
  <c r="AB18" i="64"/>
  <c r="AB19" i="64" s="1"/>
  <c r="AB17" i="64"/>
  <c r="AB16" i="64"/>
  <c r="AB14" i="64"/>
  <c r="AB15" i="64" s="1"/>
  <c r="AB13" i="64"/>
  <c r="AB12" i="64"/>
  <c r="M18" i="64"/>
  <c r="M19" i="64" s="1"/>
  <c r="M16" i="64" l="1"/>
  <c r="M12" i="64"/>
  <c r="M17" i="64"/>
  <c r="M14" i="64"/>
  <c r="M15" i="64" s="1"/>
  <c r="M13" i="64"/>
  <c r="A14" i="35" l="1"/>
  <c r="A13" i="35"/>
  <c r="A87" i="35"/>
  <c r="A86" i="35"/>
  <c r="A82" i="35"/>
  <c r="A81" i="35"/>
  <c r="H19" i="61" l="1"/>
  <c r="J19" i="61"/>
  <c r="L19" i="61"/>
  <c r="F19" i="61"/>
  <c r="D19" i="61"/>
  <c r="D6" i="61" l="1"/>
  <c r="B213" i="35" l="1"/>
  <c r="B214" i="35"/>
  <c r="B215" i="35"/>
  <c r="B216" i="35"/>
  <c r="B217" i="35"/>
  <c r="B212" i="35"/>
  <c r="A216" i="35"/>
  <c r="A217" i="35"/>
  <c r="A212" i="35"/>
  <c r="A213" i="35"/>
  <c r="A214" i="35"/>
  <c r="A215" i="35"/>
  <c r="J80" i="30" l="1"/>
  <c r="I80" i="30"/>
  <c r="J79" i="30"/>
  <c r="E105" i="87" s="1"/>
  <c r="H417" i="87" s="1"/>
  <c r="F369" i="87" s="1"/>
  <c r="I79" i="30"/>
  <c r="H80" i="30"/>
  <c r="H79" i="30"/>
  <c r="C163" i="35"/>
  <c r="F115" i="87" l="1"/>
  <c r="F116" i="87"/>
  <c r="F370" i="87"/>
  <c r="F107" i="87"/>
  <c r="F105" i="87"/>
  <c r="J105" i="87" s="1"/>
  <c r="C112" i="87"/>
  <c r="F113" i="87"/>
  <c r="C115" i="87"/>
  <c r="C113" i="87"/>
  <c r="C111" i="87"/>
  <c r="C109" i="87"/>
  <c r="F111" i="87"/>
  <c r="C107" i="87"/>
  <c r="C105" i="87"/>
  <c r="F106" i="87"/>
  <c r="C114" i="87"/>
  <c r="C108" i="87"/>
  <c r="F114" i="87"/>
  <c r="F112" i="87"/>
  <c r="F110" i="87"/>
  <c r="F108" i="87"/>
  <c r="C110" i="87"/>
  <c r="C106" i="87"/>
  <c r="C116" i="87"/>
  <c r="F109" i="87"/>
  <c r="C164" i="35"/>
  <c r="J106" i="87" l="1"/>
  <c r="O106" i="87" s="1"/>
  <c r="J113" i="87"/>
  <c r="O113" i="87" s="1"/>
  <c r="J116" i="87"/>
  <c r="O116" i="87" s="1"/>
  <c r="J110" i="87"/>
  <c r="O110" i="87" s="1"/>
  <c r="J111" i="87"/>
  <c r="O111" i="87" s="1"/>
  <c r="J107" i="87"/>
  <c r="O107" i="87" s="1"/>
  <c r="J112" i="87"/>
  <c r="O112" i="87" s="1"/>
  <c r="J114" i="87"/>
  <c r="O114" i="87" s="1"/>
  <c r="J109" i="87"/>
  <c r="O109" i="87" s="1"/>
  <c r="J108" i="87"/>
  <c r="O108" i="87" s="1"/>
  <c r="J115" i="87"/>
  <c r="O115" i="87" s="1"/>
  <c r="O105" i="87"/>
  <c r="B19" i="61"/>
  <c r="A68" i="87" s="1"/>
  <c r="F263" i="87" l="1"/>
  <c r="F273" i="87"/>
  <c r="S1" i="62"/>
  <c r="E103" i="30"/>
  <c r="E102" i="30"/>
  <c r="E101" i="30"/>
  <c r="E100" i="30"/>
  <c r="E99" i="30"/>
  <c r="E98" i="30"/>
  <c r="E97" i="30"/>
  <c r="E96" i="30"/>
  <c r="E95" i="30"/>
  <c r="E94" i="30"/>
  <c r="E93" i="30"/>
  <c r="E92" i="30"/>
  <c r="E91" i="30"/>
  <c r="E90" i="30"/>
  <c r="E89" i="30"/>
  <c r="E88" i="30"/>
  <c r="E87" i="30"/>
  <c r="E86" i="30"/>
  <c r="E85" i="30"/>
  <c r="E84" i="30"/>
  <c r="D103" i="30"/>
  <c r="D102" i="30"/>
  <c r="D101" i="30"/>
  <c r="D100" i="30"/>
  <c r="D99" i="30"/>
  <c r="D98" i="30"/>
  <c r="D97" i="30"/>
  <c r="D96" i="30"/>
  <c r="D95" i="30"/>
  <c r="D94" i="30"/>
  <c r="D93" i="30"/>
  <c r="D92" i="30"/>
  <c r="D91" i="30"/>
  <c r="D90" i="30"/>
  <c r="D89" i="30"/>
  <c r="D88" i="30"/>
  <c r="D87" i="30"/>
  <c r="D86" i="30"/>
  <c r="D85" i="30"/>
  <c r="D84" i="30"/>
  <c r="A103" i="30"/>
  <c r="A102" i="30"/>
  <c r="A101" i="30"/>
  <c r="A100" i="30"/>
  <c r="A99" i="30"/>
  <c r="A98" i="30"/>
  <c r="A97" i="30"/>
  <c r="A96" i="30"/>
  <c r="A95" i="30"/>
  <c r="A94" i="30"/>
  <c r="A93" i="30"/>
  <c r="A92" i="30"/>
  <c r="A91" i="30"/>
  <c r="A90" i="30"/>
  <c r="A89" i="30"/>
  <c r="A88" i="30"/>
  <c r="A87" i="30"/>
  <c r="A86" i="30"/>
  <c r="A85" i="30"/>
  <c r="A84" i="30"/>
  <c r="B209" i="35"/>
  <c r="A209" i="35"/>
  <c r="B208" i="35"/>
  <c r="A208" i="35"/>
  <c r="B207" i="35"/>
  <c r="A207" i="35"/>
  <c r="B206" i="35"/>
  <c r="A206" i="35"/>
  <c r="B205" i="35"/>
  <c r="A205" i="35"/>
  <c r="B204" i="35"/>
  <c r="A204" i="35"/>
  <c r="B203" i="35"/>
  <c r="A203" i="35"/>
  <c r="B202" i="35"/>
  <c r="A202" i="35"/>
  <c r="B201" i="35"/>
  <c r="A201" i="35"/>
  <c r="B200" i="35"/>
  <c r="A200" i="35"/>
  <c r="B199" i="35"/>
  <c r="A199" i="35"/>
  <c r="B198" i="35"/>
  <c r="A198" i="35"/>
  <c r="B197" i="35"/>
  <c r="A197" i="35"/>
  <c r="B196" i="35"/>
  <c r="A196" i="35"/>
  <c r="B195" i="35"/>
  <c r="A195" i="35"/>
  <c r="B194" i="35"/>
  <c r="A194" i="35"/>
  <c r="B193" i="35"/>
  <c r="A193" i="35"/>
  <c r="B192" i="35"/>
  <c r="A192" i="35"/>
  <c r="B191" i="35"/>
  <c r="A191" i="35"/>
  <c r="B190" i="35"/>
  <c r="A190" i="35"/>
  <c r="C67" i="35"/>
  <c r="I89" i="87" l="1"/>
  <c r="I90" i="87"/>
  <c r="M90" i="87" s="1"/>
  <c r="R90" i="87" s="1"/>
  <c r="I74" i="87"/>
  <c r="M74" i="87" s="1"/>
  <c r="I91" i="87"/>
  <c r="M91" i="87" s="1"/>
  <c r="R91" i="87" s="1"/>
  <c r="I75" i="87"/>
  <c r="M75" i="87" s="1"/>
  <c r="R75" i="87" s="1"/>
  <c r="I76" i="87"/>
  <c r="M76" i="87" s="1"/>
  <c r="I88" i="87"/>
  <c r="M88" i="87" s="1"/>
  <c r="R88" i="87" s="1"/>
  <c r="M89" i="87"/>
  <c r="R89" i="87" s="1"/>
  <c r="F272" i="87"/>
  <c r="E77" i="87"/>
  <c r="C80" i="87"/>
  <c r="C78" i="87"/>
  <c r="C76" i="87"/>
  <c r="C74" i="87"/>
  <c r="C91" i="87"/>
  <c r="C77" i="87"/>
  <c r="I84" i="87"/>
  <c r="C90" i="87"/>
  <c r="I78" i="87"/>
  <c r="C86" i="87"/>
  <c r="I87" i="87"/>
  <c r="I85" i="87"/>
  <c r="I83" i="87"/>
  <c r="I81" i="87"/>
  <c r="C79" i="87"/>
  <c r="I82" i="87"/>
  <c r="C82" i="87"/>
  <c r="C89" i="87"/>
  <c r="I79" i="87"/>
  <c r="I77" i="87"/>
  <c r="C75" i="87"/>
  <c r="I86" i="87"/>
  <c r="C87" i="87"/>
  <c r="C85" i="87"/>
  <c r="C83" i="87"/>
  <c r="C81" i="87"/>
  <c r="I80" i="87"/>
  <c r="C88" i="87"/>
  <c r="C84" i="87"/>
  <c r="M1" i="61"/>
  <c r="C66" i="35"/>
  <c r="M80" i="87" l="1"/>
  <c r="R80" i="87" s="1"/>
  <c r="M87" i="87"/>
  <c r="R87" i="87" s="1"/>
  <c r="M81" i="87"/>
  <c r="R81" i="87" s="1"/>
  <c r="M77" i="87"/>
  <c r="R77" i="87" s="1"/>
  <c r="M83" i="87"/>
  <c r="R83" i="87" s="1"/>
  <c r="M78" i="87"/>
  <c r="R78" i="87" s="1"/>
  <c r="M84" i="87"/>
  <c r="R84" i="87" s="1"/>
  <c r="M86" i="87"/>
  <c r="R86" i="87" s="1"/>
  <c r="M79" i="87"/>
  <c r="R79" i="87" s="1"/>
  <c r="M82" i="87"/>
  <c r="R82" i="87" s="1"/>
  <c r="M85" i="87"/>
  <c r="R85" i="87" s="1"/>
  <c r="J55" i="30"/>
  <c r="I55" i="30" s="1"/>
  <c r="P76" i="87" s="1"/>
  <c r="J54" i="30"/>
  <c r="I54" i="30" s="1"/>
  <c r="O34" i="87" s="1"/>
  <c r="J53" i="30"/>
  <c r="O33" i="87" s="1"/>
  <c r="J51" i="30"/>
  <c r="P74" i="87" s="1"/>
  <c r="R76" i="87" l="1"/>
  <c r="I51" i="30"/>
  <c r="R74" i="87"/>
  <c r="Q34" i="87"/>
  <c r="F268" i="87" s="1"/>
  <c r="E75" i="87"/>
  <c r="I53" i="30"/>
  <c r="C62" i="35"/>
  <c r="C61" i="35"/>
  <c r="F333" i="87" l="1"/>
  <c r="F336" i="87"/>
  <c r="F340" i="87"/>
  <c r="F339" i="87"/>
  <c r="F271" i="87"/>
  <c r="Q33" i="87"/>
  <c r="F258" i="87" s="1"/>
  <c r="F262" i="87"/>
  <c r="F261" i="87"/>
  <c r="C14" i="30"/>
  <c r="B14" i="30" s="1"/>
  <c r="I18" i="87" s="1"/>
  <c r="C15" i="30"/>
  <c r="B15" i="30" s="1"/>
  <c r="C13" i="30"/>
  <c r="B13" i="30" s="1"/>
  <c r="C12" i="30"/>
  <c r="I17" i="87" s="1"/>
  <c r="L4" i="35"/>
  <c r="O4" i="35"/>
  <c r="C22" i="1"/>
  <c r="C133" i="35"/>
  <c r="C18" i="1"/>
  <c r="M4" i="35"/>
  <c r="C21" i="1"/>
  <c r="C20" i="1"/>
  <c r="C126" i="35"/>
  <c r="C4" i="35"/>
  <c r="C129" i="35"/>
  <c r="C56" i="35"/>
  <c r="A6" i="1"/>
  <c r="N4" i="35"/>
  <c r="C51" i="35"/>
  <c r="J4" i="35"/>
  <c r="C52" i="35"/>
  <c r="A3" i="1"/>
  <c r="C19" i="1"/>
  <c r="P4" i="35"/>
  <c r="C132" i="35"/>
  <c r="C23" i="1"/>
  <c r="I4" i="35"/>
  <c r="C65" i="35"/>
  <c r="K4" i="35"/>
  <c r="C55" i="35"/>
  <c r="U137" i="35" l="1"/>
  <c r="R138" i="35"/>
  <c r="V138" i="35"/>
  <c r="S139" i="35"/>
  <c r="U138" i="35"/>
  <c r="R137" i="35"/>
  <c r="V137" i="35"/>
  <c r="S138" i="35"/>
  <c r="T139" i="35"/>
  <c r="S137" i="35"/>
  <c r="T138" i="35"/>
  <c r="U139" i="35"/>
  <c r="T137" i="35"/>
  <c r="R139" i="35"/>
  <c r="V139" i="35"/>
  <c r="Q168" i="35"/>
  <c r="U168" i="35"/>
  <c r="R169" i="35"/>
  <c r="V169" i="35"/>
  <c r="S170" i="35"/>
  <c r="T171" i="35"/>
  <c r="Q172" i="35"/>
  <c r="U172" i="35"/>
  <c r="R173" i="35"/>
  <c r="V173" i="35"/>
  <c r="S174" i="35"/>
  <c r="T175" i="35"/>
  <c r="Q176" i="35"/>
  <c r="U176" i="35"/>
  <c r="R177" i="35"/>
  <c r="V177" i="35"/>
  <c r="R168" i="35"/>
  <c r="V168" i="35"/>
  <c r="S169" i="35"/>
  <c r="T170" i="35"/>
  <c r="Q171" i="35"/>
  <c r="U171" i="35"/>
  <c r="R172" i="35"/>
  <c r="V172" i="35"/>
  <c r="S173" i="35"/>
  <c r="T174" i="35"/>
  <c r="Q175" i="35"/>
  <c r="U175" i="35"/>
  <c r="R176" i="35"/>
  <c r="V176" i="35"/>
  <c r="S177" i="35"/>
  <c r="S168" i="35"/>
  <c r="T169" i="35"/>
  <c r="Q170" i="35"/>
  <c r="U170" i="35"/>
  <c r="R171" i="35"/>
  <c r="V171" i="35"/>
  <c r="S172" i="35"/>
  <c r="T173" i="35"/>
  <c r="Q174" i="35"/>
  <c r="U174" i="35"/>
  <c r="R175" i="35"/>
  <c r="V175" i="35"/>
  <c r="S176" i="35"/>
  <c r="T177" i="35"/>
  <c r="T168" i="35"/>
  <c r="Q169" i="35"/>
  <c r="U169" i="35"/>
  <c r="R170" i="35"/>
  <c r="V170" i="35"/>
  <c r="S171" i="35"/>
  <c r="T172" i="35"/>
  <c r="Q173" i="35"/>
  <c r="U173" i="35"/>
  <c r="R174" i="35"/>
  <c r="V174" i="35"/>
  <c r="S175" i="35"/>
  <c r="T176" i="35"/>
  <c r="Q177" i="35"/>
  <c r="U177" i="35"/>
  <c r="U50" i="35"/>
  <c r="R51" i="35"/>
  <c r="V51" i="35"/>
  <c r="S52" i="35"/>
  <c r="T53" i="35"/>
  <c r="U54" i="35"/>
  <c r="R55" i="35"/>
  <c r="V55" i="35"/>
  <c r="S56" i="35"/>
  <c r="T57" i="35"/>
  <c r="U58" i="35"/>
  <c r="R59" i="35"/>
  <c r="V59" i="35"/>
  <c r="S60" i="35"/>
  <c r="T61" i="35"/>
  <c r="U62" i="35"/>
  <c r="R63" i="35"/>
  <c r="V63" i="35"/>
  <c r="S64" i="35"/>
  <c r="T65" i="35"/>
  <c r="U66" i="35"/>
  <c r="R67" i="35"/>
  <c r="V67" i="35"/>
  <c r="S68" i="35"/>
  <c r="T69" i="35"/>
  <c r="U70" i="35"/>
  <c r="R71" i="35"/>
  <c r="V71" i="35"/>
  <c r="S72" i="35"/>
  <c r="T73" i="35"/>
  <c r="U74" i="35"/>
  <c r="R75" i="35"/>
  <c r="V75" i="35"/>
  <c r="R50" i="35"/>
  <c r="V50" i="35"/>
  <c r="S51" i="35"/>
  <c r="T52" i="35"/>
  <c r="U53" i="35"/>
  <c r="R54" i="35"/>
  <c r="V54" i="35"/>
  <c r="S55" i="35"/>
  <c r="T56" i="35"/>
  <c r="U57" i="35"/>
  <c r="R58" i="35"/>
  <c r="V58" i="35"/>
  <c r="S59" i="35"/>
  <c r="T60" i="35"/>
  <c r="U61" i="35"/>
  <c r="R62" i="35"/>
  <c r="V62" i="35"/>
  <c r="S63" i="35"/>
  <c r="T64" i="35"/>
  <c r="U65" i="35"/>
  <c r="R66" i="35"/>
  <c r="V66" i="35"/>
  <c r="S67" i="35"/>
  <c r="T68" i="35"/>
  <c r="U69" i="35"/>
  <c r="R70" i="35"/>
  <c r="V70" i="35"/>
  <c r="S71" i="35"/>
  <c r="S50" i="35"/>
  <c r="T51" i="35"/>
  <c r="U52" i="35"/>
  <c r="R53" i="35"/>
  <c r="V53" i="35"/>
  <c r="S54" i="35"/>
  <c r="T55" i="35"/>
  <c r="U56" i="35"/>
  <c r="R57" i="35"/>
  <c r="V57" i="35"/>
  <c r="S58" i="35"/>
  <c r="T59" i="35"/>
  <c r="U60" i="35"/>
  <c r="R61" i="35"/>
  <c r="V61" i="35"/>
  <c r="S62" i="35"/>
  <c r="T63" i="35"/>
  <c r="U64" i="35"/>
  <c r="R65" i="35"/>
  <c r="V65" i="35"/>
  <c r="S66" i="35"/>
  <c r="T67" i="35"/>
  <c r="U68" i="35"/>
  <c r="R69" i="35"/>
  <c r="V69" i="35"/>
  <c r="S70" i="35"/>
  <c r="T71" i="35"/>
  <c r="U72" i="35"/>
  <c r="R73" i="35"/>
  <c r="V73" i="35"/>
  <c r="S74" i="35"/>
  <c r="T75" i="35"/>
  <c r="T50" i="35"/>
  <c r="U51" i="35"/>
  <c r="R52" i="35"/>
  <c r="V52" i="35"/>
  <c r="S53" i="35"/>
  <c r="T54" i="35"/>
  <c r="U55" i="35"/>
  <c r="R56" i="35"/>
  <c r="V56" i="35"/>
  <c r="S57" i="35"/>
  <c r="T58" i="35"/>
  <c r="U59" i="35"/>
  <c r="R60" i="35"/>
  <c r="V60" i="35"/>
  <c r="S61" i="35"/>
  <c r="T62" i="35"/>
  <c r="U63" i="35"/>
  <c r="R64" i="35"/>
  <c r="V64" i="35"/>
  <c r="S65" i="35"/>
  <c r="T66" i="35"/>
  <c r="U67" i="35"/>
  <c r="R68" i="35"/>
  <c r="V68" i="35"/>
  <c r="S69" i="35"/>
  <c r="T70" i="35"/>
  <c r="U71" i="35"/>
  <c r="R72" i="35"/>
  <c r="V72" i="35"/>
  <c r="U73" i="35"/>
  <c r="V74" i="35"/>
  <c r="T72" i="35"/>
  <c r="R74" i="35"/>
  <c r="S75" i="35"/>
  <c r="S73" i="35"/>
  <c r="T74" i="35"/>
  <c r="U75" i="35"/>
  <c r="Q18" i="35"/>
  <c r="U18" i="35"/>
  <c r="R19" i="35"/>
  <c r="V19" i="35"/>
  <c r="S20" i="35"/>
  <c r="T21" i="35"/>
  <c r="Q22" i="35"/>
  <c r="U22" i="35"/>
  <c r="R23" i="35"/>
  <c r="V23" i="35"/>
  <c r="S24" i="35"/>
  <c r="T25" i="35"/>
  <c r="Q26" i="35"/>
  <c r="U26" i="35"/>
  <c r="R27" i="35"/>
  <c r="V27" i="35"/>
  <c r="S28" i="35"/>
  <c r="T29" i="35"/>
  <c r="Q30" i="35"/>
  <c r="U30" i="35"/>
  <c r="R31" i="35"/>
  <c r="V31" i="35"/>
  <c r="R18" i="35"/>
  <c r="V18" i="35"/>
  <c r="S19" i="35"/>
  <c r="T20" i="35"/>
  <c r="Q21" i="35"/>
  <c r="U21" i="35"/>
  <c r="R22" i="35"/>
  <c r="V22" i="35"/>
  <c r="S23" i="35"/>
  <c r="T24" i="35"/>
  <c r="Q25" i="35"/>
  <c r="U25" i="35"/>
  <c r="R26" i="35"/>
  <c r="V26" i="35"/>
  <c r="S27" i="35"/>
  <c r="T28" i="35"/>
  <c r="Q29" i="35"/>
  <c r="U29" i="35"/>
  <c r="R30" i="35"/>
  <c r="V30" i="35"/>
  <c r="S31" i="35"/>
  <c r="S18" i="35"/>
  <c r="T19" i="35"/>
  <c r="Q20" i="35"/>
  <c r="U20" i="35"/>
  <c r="R21" i="35"/>
  <c r="V21" i="35"/>
  <c r="S22" i="35"/>
  <c r="T23" i="35"/>
  <c r="Q24" i="35"/>
  <c r="U24" i="35"/>
  <c r="R25" i="35"/>
  <c r="V25" i="35"/>
  <c r="S26" i="35"/>
  <c r="T27" i="35"/>
  <c r="Q28" i="35"/>
  <c r="U28" i="35"/>
  <c r="R29" i="35"/>
  <c r="V29" i="35"/>
  <c r="S30" i="35"/>
  <c r="T31" i="35"/>
  <c r="T18" i="35"/>
  <c r="Q19" i="35"/>
  <c r="U19" i="35"/>
  <c r="R20" i="35"/>
  <c r="V20" i="35"/>
  <c r="S21" i="35"/>
  <c r="T22" i="35"/>
  <c r="Q23" i="35"/>
  <c r="U23" i="35"/>
  <c r="R24" i="35"/>
  <c r="V24" i="35"/>
  <c r="S25" i="35"/>
  <c r="T26" i="35"/>
  <c r="Q27" i="35"/>
  <c r="U27" i="35"/>
  <c r="R28" i="35"/>
  <c r="V28" i="35"/>
  <c r="S29" i="35"/>
  <c r="T30" i="35"/>
  <c r="Q31" i="35"/>
  <c r="U31" i="35"/>
  <c r="F260" i="87"/>
  <c r="V12" i="35"/>
  <c r="V13" i="35"/>
  <c r="U12" i="35"/>
  <c r="U13" i="35"/>
  <c r="T12" i="35"/>
  <c r="T13" i="35"/>
  <c r="S12" i="35"/>
  <c r="S13" i="35"/>
  <c r="R11" i="35"/>
  <c r="R12" i="35"/>
  <c r="R13" i="35"/>
  <c r="R14" i="35"/>
  <c r="Q11" i="35"/>
  <c r="Q12" i="35"/>
  <c r="Q13" i="35"/>
  <c r="Q14" i="35"/>
  <c r="F270" i="87"/>
  <c r="K18" i="87"/>
  <c r="B12" i="30"/>
  <c r="K17" i="87"/>
  <c r="G4" i="87"/>
  <c r="U120" i="35"/>
  <c r="T113" i="35"/>
  <c r="V122" i="35"/>
  <c r="V120" i="35"/>
  <c r="R99" i="35"/>
  <c r="S108" i="35"/>
  <c r="T94" i="35"/>
  <c r="V105" i="35"/>
  <c r="T109" i="35"/>
  <c r="R106" i="35"/>
  <c r="T222" i="35"/>
  <c r="T205" i="35"/>
  <c r="S164" i="35"/>
  <c r="V218" i="35"/>
  <c r="U216" i="35"/>
  <c r="U206" i="35"/>
  <c r="U215" i="35"/>
  <c r="U195" i="35"/>
  <c r="S219" i="35"/>
  <c r="Q122" i="35"/>
  <c r="T118" i="35"/>
  <c r="R92" i="35"/>
  <c r="T104" i="35"/>
  <c r="S201" i="35"/>
  <c r="V117" i="35"/>
  <c r="V119" i="35"/>
  <c r="S117" i="35"/>
  <c r="S120" i="35"/>
  <c r="T97" i="35"/>
  <c r="U101" i="35"/>
  <c r="Q104" i="35"/>
  <c r="V108" i="35"/>
  <c r="S103" i="35"/>
  <c r="U223" i="35"/>
  <c r="U220" i="35"/>
  <c r="T219" i="35"/>
  <c r="U191" i="35"/>
  <c r="V217" i="35"/>
  <c r="S205" i="35"/>
  <c r="Q115" i="35"/>
  <c r="R95" i="35"/>
  <c r="T92" i="35"/>
  <c r="T106" i="35"/>
  <c r="T99" i="35"/>
  <c r="U219" i="35"/>
  <c r="U116" i="35"/>
  <c r="V153" i="35"/>
  <c r="S119" i="35"/>
  <c r="U153" i="35"/>
  <c r="U118" i="35"/>
  <c r="V95" i="35"/>
  <c r="U97" i="35"/>
  <c r="S101" i="35"/>
  <c r="U107" i="35"/>
  <c r="V103" i="35"/>
  <c r="U100" i="35"/>
  <c r="Q9" i="35"/>
  <c r="U200" i="35"/>
  <c r="U214" i="35"/>
  <c r="T215" i="35"/>
  <c r="S44" i="35"/>
  <c r="U198" i="35"/>
  <c r="T201" i="35"/>
  <c r="T164" i="35"/>
  <c r="S206" i="35"/>
  <c r="R218" i="35"/>
  <c r="U192" i="35"/>
  <c r="U202" i="35"/>
  <c r="V202" i="35"/>
  <c r="V197" i="35"/>
  <c r="Q113" i="35"/>
  <c r="T115" i="35"/>
  <c r="V115" i="35"/>
  <c r="R121" i="35"/>
  <c r="V123" i="35"/>
  <c r="R93" i="35"/>
  <c r="R97" i="35"/>
  <c r="V96" i="35"/>
  <c r="U108" i="35"/>
  <c r="T96" i="35"/>
  <c r="Q221" i="35"/>
  <c r="S190" i="35"/>
  <c r="R215" i="35"/>
  <c r="T213" i="35"/>
  <c r="S194" i="35"/>
  <c r="S208" i="35"/>
  <c r="Q219" i="35"/>
  <c r="S203" i="35"/>
  <c r="U196" i="35"/>
  <c r="T195" i="35"/>
  <c r="R114" i="35"/>
  <c r="T116" i="35"/>
  <c r="T114" i="35"/>
  <c r="T98" i="35"/>
  <c r="R98" i="35"/>
  <c r="V222" i="35"/>
  <c r="S197" i="35"/>
  <c r="V215" i="35"/>
  <c r="V220" i="35"/>
  <c r="V121" i="35"/>
  <c r="Q114" i="35"/>
  <c r="S121" i="35"/>
  <c r="S123" i="35"/>
  <c r="V99" i="35"/>
  <c r="S106" i="35"/>
  <c r="S92" i="35"/>
  <c r="S107" i="35"/>
  <c r="S222" i="35"/>
  <c r="S212" i="35"/>
  <c r="R164" i="35"/>
  <c r="T197" i="35"/>
  <c r="U164" i="35"/>
  <c r="T198" i="35"/>
  <c r="Q164" i="35"/>
  <c r="V213" i="35"/>
  <c r="T206" i="35"/>
  <c r="U114" i="35"/>
  <c r="T122" i="35"/>
  <c r="S100" i="35"/>
  <c r="U95" i="35"/>
  <c r="R94" i="35"/>
  <c r="S209" i="35"/>
  <c r="S204" i="35"/>
  <c r="T119" i="35"/>
  <c r="R122" i="35"/>
  <c r="U119" i="35"/>
  <c r="U122" i="35"/>
  <c r="U98" i="35"/>
  <c r="U106" i="35"/>
  <c r="R105" i="35"/>
  <c r="S93" i="35"/>
  <c r="V107" i="35"/>
  <c r="U105" i="35"/>
  <c r="R221" i="35"/>
  <c r="U207" i="35"/>
  <c r="T192" i="35"/>
  <c r="T190" i="35"/>
  <c r="T200" i="35"/>
  <c r="V164" i="35"/>
  <c r="T44" i="35"/>
  <c r="T209" i="35"/>
  <c r="S198" i="35"/>
  <c r="U213" i="35"/>
  <c r="U205" i="35"/>
  <c r="V10" i="35"/>
  <c r="V44" i="35"/>
  <c r="V207" i="35"/>
  <c r="V201" i="35"/>
  <c r="S115" i="35"/>
  <c r="U117" i="35"/>
  <c r="R113" i="35"/>
  <c r="R153" i="35"/>
  <c r="V92" i="35"/>
  <c r="V106" i="35"/>
  <c r="U99" i="35"/>
  <c r="R104" i="35"/>
  <c r="T100" i="35"/>
  <c r="V97" i="35"/>
  <c r="S221" i="35"/>
  <c r="S218" i="35"/>
  <c r="S193" i="35"/>
  <c r="U199" i="35"/>
  <c r="T202" i="35"/>
  <c r="S45" i="35"/>
  <c r="T45" i="35"/>
  <c r="T207" i="35"/>
  <c r="S118" i="35"/>
  <c r="U121" i="35"/>
  <c r="T121" i="35"/>
  <c r="S104" i="35"/>
  <c r="U104" i="35"/>
  <c r="R107" i="35"/>
  <c r="R222" i="35"/>
  <c r="R219" i="35"/>
  <c r="R217" i="35"/>
  <c r="T194" i="35"/>
  <c r="U113" i="35"/>
  <c r="R116" i="35"/>
  <c r="S153" i="35"/>
  <c r="S122" i="35"/>
  <c r="S113" i="35"/>
  <c r="V93" i="35"/>
  <c r="V104" i="35"/>
  <c r="S97" i="35"/>
  <c r="R109" i="35"/>
  <c r="S94" i="35"/>
  <c r="T221" i="35"/>
  <c r="S223" i="35"/>
  <c r="T204" i="35"/>
  <c r="T212" i="35"/>
  <c r="V214" i="35"/>
  <c r="U212" i="35"/>
  <c r="Q220" i="35"/>
  <c r="S200" i="35"/>
  <c r="S207" i="35"/>
  <c r="R216" i="35"/>
  <c r="U194" i="35"/>
  <c r="Q116" i="35"/>
  <c r="V118" i="35"/>
  <c r="T117" i="35"/>
  <c r="S95" i="35"/>
  <c r="V100" i="35"/>
  <c r="R103" i="35"/>
  <c r="U221" i="35"/>
  <c r="S199" i="35"/>
  <c r="S10" i="35"/>
  <c r="S215" i="35"/>
  <c r="V113" i="35"/>
  <c r="R115" i="35"/>
  <c r="Q120" i="35"/>
  <c r="U92" i="35"/>
  <c r="T101" i="35"/>
  <c r="R96" i="35"/>
  <c r="V94" i="35"/>
  <c r="U109" i="35"/>
  <c r="T223" i="35"/>
  <c r="S214" i="35"/>
  <c r="U197" i="35"/>
  <c r="U217" i="35"/>
  <c r="T193" i="35"/>
  <c r="V216" i="35"/>
  <c r="T216" i="35"/>
  <c r="U190" i="35"/>
  <c r="T203" i="35"/>
  <c r="T10" i="35"/>
  <c r="R213" i="35"/>
  <c r="T199" i="35"/>
  <c r="V194" i="35"/>
  <c r="V208" i="35"/>
  <c r="V200" i="35"/>
  <c r="V45" i="35"/>
  <c r="V209" i="35"/>
  <c r="V193" i="35"/>
  <c r="V190" i="35"/>
  <c r="V191" i="35"/>
  <c r="R117" i="35"/>
  <c r="Q118" i="35"/>
  <c r="T120" i="35"/>
  <c r="V116" i="35"/>
  <c r="R119" i="35"/>
  <c r="S96" i="35"/>
  <c r="S99" i="35"/>
  <c r="U93" i="35"/>
  <c r="T103" i="35"/>
  <c r="R108" i="35"/>
  <c r="T105" i="35"/>
  <c r="R101" i="35"/>
  <c r="U222" i="35"/>
  <c r="T218" i="35"/>
  <c r="U193" i="35"/>
  <c r="U10" i="35"/>
  <c r="S202" i="35"/>
  <c r="S192" i="35"/>
  <c r="U204" i="35"/>
  <c r="S220" i="35"/>
  <c r="U44" i="35"/>
  <c r="Q119" i="35"/>
  <c r="V101" i="35"/>
  <c r="V109" i="35"/>
  <c r="T95" i="35"/>
  <c r="Q223" i="35"/>
  <c r="U201" i="35"/>
  <c r="T217" i="35"/>
  <c r="T196" i="35"/>
  <c r="T208" i="35"/>
  <c r="T153" i="35"/>
  <c r="R123" i="35"/>
  <c r="R118" i="35"/>
  <c r="S114" i="35"/>
  <c r="S116" i="35"/>
  <c r="U94" i="35"/>
  <c r="T108" i="35"/>
  <c r="R100" i="35"/>
  <c r="S105" i="35"/>
  <c r="S98" i="35"/>
  <c r="Q222" i="35"/>
  <c r="T191" i="35"/>
  <c r="U208" i="35"/>
  <c r="V212" i="35"/>
  <c r="S213" i="35"/>
  <c r="S191" i="35"/>
  <c r="V219" i="35"/>
  <c r="U218" i="35"/>
  <c r="T123" i="35"/>
  <c r="T107" i="35"/>
  <c r="T93" i="35"/>
  <c r="V223" i="35"/>
  <c r="R214" i="35"/>
  <c r="U45" i="35"/>
  <c r="V114" i="35"/>
  <c r="R120" i="35"/>
  <c r="U123" i="35"/>
  <c r="U115" i="35"/>
  <c r="S109" i="35"/>
  <c r="Q105" i="35"/>
  <c r="U103" i="35"/>
  <c r="V98" i="35"/>
  <c r="U96" i="35"/>
  <c r="R223" i="35"/>
  <c r="V221" i="35"/>
  <c r="T220" i="35"/>
  <c r="S196" i="35"/>
  <c r="T214" i="35"/>
  <c r="R220" i="35"/>
  <c r="S195" i="35"/>
  <c r="Q218" i="35"/>
  <c r="R212" i="35"/>
  <c r="S217" i="35"/>
  <c r="S216" i="35"/>
  <c r="U209" i="35"/>
  <c r="U203" i="35"/>
  <c r="V204" i="35"/>
  <c r="V206" i="35"/>
  <c r="V192" i="35"/>
  <c r="V195" i="35"/>
  <c r="V205" i="35"/>
  <c r="V203" i="35"/>
  <c r="V196" i="35"/>
  <c r="V199" i="35"/>
  <c r="V198" i="35"/>
  <c r="AC2" i="64"/>
  <c r="S2" i="62"/>
  <c r="C13" i="1"/>
  <c r="AR2" i="64"/>
  <c r="V2" i="87"/>
  <c r="W2" i="35"/>
  <c r="N2" i="64"/>
  <c r="M2" i="61"/>
  <c r="V128" i="35"/>
  <c r="U128" i="35"/>
  <c r="S128" i="35"/>
  <c r="T128" i="35"/>
  <c r="U127" i="35"/>
  <c r="S127" i="35"/>
  <c r="V127" i="35"/>
  <c r="T127" i="35"/>
  <c r="T126" i="35"/>
  <c r="S126" i="35"/>
  <c r="U126" i="35"/>
  <c r="V126" i="35"/>
  <c r="G14" i="30"/>
  <c r="G15" i="30"/>
  <c r="G13" i="30"/>
  <c r="G12" i="30"/>
  <c r="C53" i="35"/>
  <c r="C54" i="35"/>
  <c r="C63" i="35"/>
  <c r="C64" i="35"/>
  <c r="D49" i="87" l="1"/>
  <c r="D101" i="87"/>
  <c r="Q75" i="35"/>
  <c r="F256" i="87"/>
  <c r="W174" i="35"/>
  <c r="W31" i="35"/>
  <c r="W177" i="35"/>
  <c r="W175" i="35"/>
  <c r="W170" i="35"/>
  <c r="W23" i="35"/>
  <c r="W169" i="35"/>
  <c r="W172" i="35"/>
  <c r="W27" i="35"/>
  <c r="W19" i="35"/>
  <c r="W173" i="35"/>
  <c r="W171" i="35"/>
  <c r="W176" i="35"/>
  <c r="W168" i="35"/>
  <c r="W24" i="35"/>
  <c r="W29" i="35"/>
  <c r="W21" i="35"/>
  <c r="W30" i="35"/>
  <c r="W22" i="35"/>
  <c r="W28" i="35"/>
  <c r="W20" i="35"/>
  <c r="W25" i="35"/>
  <c r="W26" i="35"/>
  <c r="W18" i="35"/>
  <c r="Q106" i="35"/>
  <c r="W13" i="35"/>
  <c r="W12" i="35"/>
  <c r="Q117" i="35"/>
  <c r="F264" i="87"/>
  <c r="W222" i="35"/>
  <c r="W119" i="35"/>
  <c r="W220" i="35"/>
  <c r="W105" i="35"/>
  <c r="W116" i="35"/>
  <c r="W118" i="35"/>
  <c r="W104" i="35"/>
  <c r="W219" i="35"/>
  <c r="W164" i="35"/>
  <c r="W114" i="35"/>
  <c r="W122" i="35"/>
  <c r="W113" i="35"/>
  <c r="W218" i="35"/>
  <c r="W223" i="35"/>
  <c r="W115" i="35"/>
  <c r="W221" i="35"/>
  <c r="W120" i="35"/>
  <c r="D143" i="87"/>
  <c r="C58" i="35"/>
  <c r="C50" i="35"/>
  <c r="C49" i="35"/>
  <c r="C57" i="35"/>
  <c r="W75" i="35" l="1"/>
  <c r="Q74" i="35"/>
  <c r="Q73" i="35"/>
  <c r="Q72" i="35"/>
  <c r="Q71" i="35"/>
  <c r="Q70" i="35"/>
  <c r="Q69" i="35"/>
  <c r="Q68" i="35"/>
  <c r="Q67" i="35"/>
  <c r="Q66" i="35"/>
  <c r="Q65" i="35"/>
  <c r="Q56" i="35"/>
  <c r="Q64" i="35"/>
  <c r="Q63" i="35"/>
  <c r="Q55" i="35"/>
  <c r="Q61" i="35"/>
  <c r="Q53" i="35"/>
  <c r="Q62" i="35"/>
  <c r="Q54" i="35"/>
  <c r="Q60" i="35"/>
  <c r="Q52" i="35"/>
  <c r="Q51" i="35"/>
  <c r="Q59" i="35"/>
  <c r="Q58" i="35"/>
  <c r="Q50" i="35"/>
  <c r="Q57" i="35"/>
  <c r="F292" i="87"/>
  <c r="W117" i="35"/>
  <c r="W106" i="35"/>
  <c r="F285" i="87"/>
  <c r="Q109" i="35"/>
  <c r="Q103" i="35"/>
  <c r="Q108" i="35"/>
  <c r="Q123" i="35"/>
  <c r="Q107" i="35"/>
  <c r="S133" i="35"/>
  <c r="V133" i="35"/>
  <c r="U133" i="35"/>
  <c r="T133" i="35"/>
  <c r="R133" i="35"/>
  <c r="S132" i="35"/>
  <c r="Q132" i="35"/>
  <c r="V132" i="35"/>
  <c r="T132" i="35"/>
  <c r="R132" i="35"/>
  <c r="U132" i="35"/>
  <c r="T131" i="35"/>
  <c r="R131" i="35"/>
  <c r="Q131" i="35"/>
  <c r="V131" i="35"/>
  <c r="U131" i="35"/>
  <c r="S131" i="35"/>
  <c r="R130" i="35"/>
  <c r="S130" i="35"/>
  <c r="T130" i="35"/>
  <c r="V130" i="35"/>
  <c r="Q130" i="35"/>
  <c r="U130" i="35"/>
  <c r="R129" i="35"/>
  <c r="S129" i="35"/>
  <c r="U129" i="35"/>
  <c r="Q129" i="35"/>
  <c r="T129" i="35"/>
  <c r="V129" i="35"/>
  <c r="Q112" i="35"/>
  <c r="V112" i="35"/>
  <c r="T112" i="35"/>
  <c r="S112" i="35"/>
  <c r="R112" i="35"/>
  <c r="U112" i="35"/>
  <c r="C78" i="35"/>
  <c r="C86" i="35"/>
  <c r="C79" i="35"/>
  <c r="C85" i="35"/>
  <c r="W63" i="35" l="1"/>
  <c r="W50" i="35"/>
  <c r="W52" i="35"/>
  <c r="W64" i="35"/>
  <c r="W58" i="35"/>
  <c r="W60" i="35"/>
  <c r="W61" i="35"/>
  <c r="W56" i="35"/>
  <c r="W68" i="35"/>
  <c r="W72" i="35"/>
  <c r="W59" i="35"/>
  <c r="W54" i="35"/>
  <c r="W55" i="35"/>
  <c r="W65" i="35"/>
  <c r="W69" i="35"/>
  <c r="W73" i="35"/>
  <c r="W51" i="35"/>
  <c r="W62" i="35"/>
  <c r="W66" i="35"/>
  <c r="W70" i="35"/>
  <c r="W74" i="35"/>
  <c r="W53" i="35"/>
  <c r="W67" i="35"/>
  <c r="W71" i="35"/>
  <c r="Q100" i="35"/>
  <c r="Q99" i="35"/>
  <c r="Q97" i="35"/>
  <c r="Q96" i="35"/>
  <c r="Q95" i="35"/>
  <c r="Q94" i="35"/>
  <c r="Q93" i="35"/>
  <c r="Q92" i="35"/>
  <c r="F343" i="87"/>
  <c r="W57" i="35"/>
  <c r="W107" i="35"/>
  <c r="W109" i="35"/>
  <c r="W123" i="35"/>
  <c r="W103" i="35"/>
  <c r="W108" i="35"/>
  <c r="Q91" i="35"/>
  <c r="Q98" i="35"/>
  <c r="Q101" i="35"/>
  <c r="Q121" i="35"/>
  <c r="F344" i="87"/>
  <c r="Q217" i="35"/>
  <c r="Q216" i="35"/>
  <c r="Q215" i="35"/>
  <c r="Q214" i="35"/>
  <c r="Q213" i="35"/>
  <c r="Q212" i="35"/>
  <c r="V49" i="35"/>
  <c r="U49" i="35"/>
  <c r="S49" i="35"/>
  <c r="T49" i="35"/>
  <c r="R49" i="35"/>
  <c r="W132" i="35"/>
  <c r="W131" i="35"/>
  <c r="W130" i="35"/>
  <c r="W129" i="35"/>
  <c r="W112" i="35"/>
  <c r="W1" i="35"/>
  <c r="C137" i="35"/>
  <c r="C136" i="35"/>
  <c r="C138" i="35"/>
  <c r="W93" i="35" l="1"/>
  <c r="W94" i="35"/>
  <c r="W95" i="35"/>
  <c r="W100" i="35"/>
  <c r="W92" i="35"/>
  <c r="W96" i="35"/>
  <c r="W97" i="35"/>
  <c r="W99" i="35"/>
  <c r="Q133" i="35"/>
  <c r="Q153" i="35"/>
  <c r="Q139" i="35"/>
  <c r="Q138" i="35"/>
  <c r="Q137" i="35"/>
  <c r="W215" i="35"/>
  <c r="W121" i="35"/>
  <c r="W214" i="35"/>
  <c r="W212" i="35"/>
  <c r="W216" i="35"/>
  <c r="W101" i="35"/>
  <c r="W213" i="35"/>
  <c r="W217" i="35"/>
  <c r="W98" i="35"/>
  <c r="W153" i="35" l="1"/>
  <c r="W133" i="35"/>
  <c r="W138" i="35"/>
  <c r="W139" i="35"/>
  <c r="W137" i="35"/>
  <c r="R205" i="35"/>
  <c r="Q203" i="35"/>
  <c r="R190" i="35"/>
  <c r="Q198" i="35"/>
  <c r="Q10" i="35"/>
  <c r="R195" i="35"/>
  <c r="Q201" i="35"/>
  <c r="Q194" i="35"/>
  <c r="R45" i="35"/>
  <c r="R192" i="35"/>
  <c r="Q196" i="35"/>
  <c r="Q193" i="35"/>
  <c r="Q45" i="35"/>
  <c r="Q209" i="35"/>
  <c r="R200" i="35"/>
  <c r="R126" i="35"/>
  <c r="R204" i="35"/>
  <c r="R201" i="35"/>
  <c r="Q204" i="35"/>
  <c r="Q126" i="35"/>
  <c r="Q208" i="35"/>
  <c r="R203" i="35"/>
  <c r="Q205" i="35"/>
  <c r="R202" i="35"/>
  <c r="Q192" i="35"/>
  <c r="Q202" i="35"/>
  <c r="R194" i="35"/>
  <c r="R197" i="35"/>
  <c r="R10" i="35"/>
  <c r="Q199" i="35"/>
  <c r="Q44" i="35"/>
  <c r="R209" i="35"/>
  <c r="R128" i="35"/>
  <c r="R44" i="35"/>
  <c r="R206" i="35"/>
  <c r="Q207" i="35"/>
  <c r="R127" i="35"/>
  <c r="Q206" i="35"/>
  <c r="R207" i="35"/>
  <c r="R193" i="35"/>
  <c r="R208" i="35"/>
  <c r="Q200" i="35"/>
  <c r="Q127" i="35"/>
  <c r="R196" i="35"/>
  <c r="Q128" i="35"/>
  <c r="R191" i="35"/>
  <c r="R198" i="35"/>
  <c r="Q191" i="35"/>
  <c r="R199" i="35"/>
  <c r="Q197" i="35" l="1"/>
  <c r="Q195" i="35"/>
  <c r="R167" i="35"/>
  <c r="Q167" i="35"/>
  <c r="Q49" i="35"/>
  <c r="U82" i="35"/>
  <c r="V82" i="35"/>
  <c r="S82" i="35"/>
  <c r="R82" i="35"/>
  <c r="T82" i="35"/>
  <c r="T81" i="35"/>
  <c r="V81" i="35"/>
  <c r="R81" i="35"/>
  <c r="U81" i="35"/>
  <c r="S81" i="35"/>
  <c r="T80" i="35"/>
  <c r="U80" i="35"/>
  <c r="S80" i="35"/>
  <c r="V80" i="35"/>
  <c r="Q82" i="35"/>
  <c r="Q81" i="35"/>
  <c r="W45" i="35"/>
  <c r="W206" i="35"/>
  <c r="W200" i="35"/>
  <c r="W126" i="35"/>
  <c r="W44" i="35"/>
  <c r="W191" i="35"/>
  <c r="W207" i="35"/>
  <c r="W205" i="35"/>
  <c r="W201" i="35"/>
  <c r="W196" i="35"/>
  <c r="W208" i="35"/>
  <c r="W194" i="35"/>
  <c r="W127" i="35"/>
  <c r="W10" i="35"/>
  <c r="W209" i="35"/>
  <c r="W192" i="35"/>
  <c r="W203" i="35"/>
  <c r="W204" i="35"/>
  <c r="W198" i="35"/>
  <c r="W202" i="35"/>
  <c r="W128" i="35"/>
  <c r="W193" i="35"/>
  <c r="W199" i="35"/>
  <c r="U79" i="35"/>
  <c r="T79" i="35"/>
  <c r="V79" i="35"/>
  <c r="S79" i="35"/>
  <c r="V187" i="35" l="1"/>
  <c r="U187" i="35"/>
  <c r="T187" i="35"/>
  <c r="S187" i="35"/>
  <c r="R187" i="35"/>
  <c r="W197" i="35"/>
  <c r="W195" i="35"/>
  <c r="S180" i="35"/>
  <c r="S43" i="35"/>
  <c r="Q190" i="35"/>
  <c r="Q187" i="35"/>
  <c r="R79" i="35"/>
  <c r="R80" i="35"/>
  <c r="Q79" i="35"/>
  <c r="Q80" i="35"/>
  <c r="W190" i="35" l="1"/>
  <c r="W49" i="35"/>
  <c r="T180" i="35"/>
  <c r="T43" i="35"/>
  <c r="U180" i="35"/>
  <c r="U43" i="35"/>
  <c r="V180" i="35"/>
  <c r="V43" i="35"/>
  <c r="R43" i="35"/>
  <c r="R180" i="35"/>
  <c r="Q181" i="35"/>
  <c r="Q180" i="35"/>
  <c r="Q43" i="35"/>
  <c r="W187" i="35"/>
  <c r="Q184" i="35"/>
  <c r="U184" i="35"/>
  <c r="T184" i="35"/>
  <c r="S184" i="35"/>
  <c r="R184" i="35"/>
  <c r="V184" i="35"/>
  <c r="T167" i="35"/>
  <c r="V167" i="35"/>
  <c r="S167" i="35"/>
  <c r="U167" i="35"/>
  <c r="T162" i="35"/>
  <c r="U162" i="35"/>
  <c r="S162" i="35"/>
  <c r="R162" i="35"/>
  <c r="V162" i="35"/>
  <c r="T91" i="35"/>
  <c r="R91" i="35"/>
  <c r="S91" i="35"/>
  <c r="U91" i="35"/>
  <c r="V91" i="35"/>
  <c r="R40" i="35"/>
  <c r="U40" i="35"/>
  <c r="S40" i="35"/>
  <c r="T40" i="35"/>
  <c r="V40" i="35"/>
  <c r="Q40" i="35"/>
  <c r="T38" i="35"/>
  <c r="S38" i="35"/>
  <c r="U38" i="35"/>
  <c r="V38" i="35"/>
  <c r="R38" i="35"/>
  <c r="U37" i="35"/>
  <c r="V37" i="35"/>
  <c r="T37" i="35"/>
  <c r="R37" i="35"/>
  <c r="S37" i="35"/>
  <c r="R36" i="35"/>
  <c r="U36" i="35"/>
  <c r="S36" i="35"/>
  <c r="T36" i="35"/>
  <c r="V36" i="35"/>
  <c r="W82" i="35"/>
  <c r="T87" i="35"/>
  <c r="S87" i="35"/>
  <c r="U87" i="35"/>
  <c r="R87" i="35"/>
  <c r="V87" i="35"/>
  <c r="W80" i="35"/>
  <c r="W81" i="35"/>
  <c r="U86" i="35"/>
  <c r="S86" i="35"/>
  <c r="V86" i="35"/>
  <c r="R86" i="35"/>
  <c r="T86" i="35"/>
  <c r="Q38" i="35"/>
  <c r="Q37" i="35"/>
  <c r="Q87" i="35"/>
  <c r="Q86" i="35"/>
  <c r="T78" i="35"/>
  <c r="U78" i="35"/>
  <c r="V78" i="35"/>
  <c r="V85" i="35"/>
  <c r="U85" i="35"/>
  <c r="T85" i="35"/>
  <c r="S85" i="35"/>
  <c r="S78" i="35"/>
  <c r="R85" i="35"/>
  <c r="R78" i="35"/>
  <c r="W79" i="35"/>
  <c r="Q78" i="35"/>
  <c r="Q85" i="35"/>
  <c r="Q36" i="35" l="1"/>
  <c r="W180" i="35" l="1"/>
  <c r="W43" i="35"/>
  <c r="Q182" i="35"/>
  <c r="U182" i="35"/>
  <c r="T182" i="35"/>
  <c r="S182" i="35"/>
  <c r="R182" i="35"/>
  <c r="V182" i="35"/>
  <c r="T183" i="35"/>
  <c r="V183" i="35"/>
  <c r="R183" i="35"/>
  <c r="S183" i="35"/>
  <c r="U183" i="35"/>
  <c r="Q183" i="35"/>
  <c r="W167" i="35"/>
  <c r="W184" i="35"/>
  <c r="T39" i="35"/>
  <c r="S39" i="35"/>
  <c r="Q39" i="35"/>
  <c r="R39" i="35"/>
  <c r="U39" i="35"/>
  <c r="V39" i="35"/>
  <c r="V161" i="35"/>
  <c r="S161" i="35"/>
  <c r="T161" i="35"/>
  <c r="Q161" i="35"/>
  <c r="U161" i="35"/>
  <c r="R161" i="35"/>
  <c r="S35" i="35"/>
  <c r="R35" i="35"/>
  <c r="U35" i="35"/>
  <c r="V35" i="35"/>
  <c r="T35" i="35"/>
  <c r="Q35" i="35"/>
  <c r="V34" i="35"/>
  <c r="Q34" i="35"/>
  <c r="S34" i="35"/>
  <c r="T34" i="35"/>
  <c r="U34" i="35"/>
  <c r="R34" i="35"/>
  <c r="W40" i="35"/>
  <c r="W91" i="35"/>
  <c r="W38" i="35"/>
  <c r="W37" i="35"/>
  <c r="W36" i="35"/>
  <c r="U17" i="35"/>
  <c r="R17" i="35"/>
  <c r="S17" i="35"/>
  <c r="V17" i="35"/>
  <c r="Q17" i="35"/>
  <c r="T17" i="35"/>
  <c r="T14" i="35"/>
  <c r="V14" i="35"/>
  <c r="U14" i="35"/>
  <c r="S14" i="35"/>
  <c r="W87" i="35"/>
  <c r="W86" i="35"/>
  <c r="T11" i="35"/>
  <c r="U11" i="35"/>
  <c r="V11" i="35"/>
  <c r="S11" i="35"/>
  <c r="W78" i="35"/>
  <c r="W85" i="35"/>
  <c r="Q162" i="35" l="1"/>
  <c r="W162" i="35" l="1"/>
  <c r="T181" i="35"/>
  <c r="R181" i="35"/>
  <c r="V181" i="35"/>
  <c r="U181" i="35"/>
  <c r="S181" i="35"/>
  <c r="W183" i="35"/>
  <c r="W39" i="35"/>
  <c r="W182" i="35"/>
  <c r="V163" i="35"/>
  <c r="U163" i="35"/>
  <c r="T163" i="35"/>
  <c r="R163" i="35"/>
  <c r="Q163" i="35"/>
  <c r="S163" i="35"/>
  <c r="W35" i="35"/>
  <c r="W34" i="35"/>
  <c r="W161" i="35"/>
  <c r="V158" i="35"/>
  <c r="U158" i="35"/>
  <c r="R158" i="35"/>
  <c r="T158" i="35"/>
  <c r="Q158" i="35"/>
  <c r="S158" i="35"/>
  <c r="V157" i="35"/>
  <c r="Q157" i="35"/>
  <c r="R157" i="35"/>
  <c r="S157" i="35"/>
  <c r="U157" i="35"/>
  <c r="T157" i="35"/>
  <c r="Q146" i="35"/>
  <c r="T146" i="35"/>
  <c r="R146" i="35"/>
  <c r="S146" i="35"/>
  <c r="U146" i="35"/>
  <c r="V146" i="35"/>
  <c r="W17" i="35"/>
  <c r="T145" i="35"/>
  <c r="V145" i="35"/>
  <c r="S145" i="35"/>
  <c r="R145" i="35"/>
  <c r="Q145" i="35"/>
  <c r="U145" i="35"/>
  <c r="W14" i="35"/>
  <c r="T141" i="35"/>
  <c r="R141" i="35"/>
  <c r="U141" i="35"/>
  <c r="V141" i="35"/>
  <c r="S141" i="35"/>
  <c r="U140" i="35"/>
  <c r="V140" i="35"/>
  <c r="R140" i="35"/>
  <c r="S140" i="35"/>
  <c r="T140" i="35"/>
  <c r="Q141" i="35"/>
  <c r="Q140" i="35"/>
  <c r="U136" i="35"/>
  <c r="R136" i="35"/>
  <c r="S136" i="35"/>
  <c r="T136" i="35"/>
  <c r="V136" i="35"/>
  <c r="Q136" i="35"/>
  <c r="W11" i="35"/>
  <c r="W181" i="35" l="1"/>
  <c r="W157" i="35"/>
  <c r="W158" i="35"/>
  <c r="W163" i="35"/>
  <c r="W146" i="35"/>
  <c r="W145" i="35"/>
  <c r="W140" i="35"/>
  <c r="W141" i="35"/>
  <c r="W136" i="35"/>
  <c r="S147" i="35" l="1"/>
  <c r="T147" i="35"/>
  <c r="U156" i="35"/>
  <c r="U150" i="35"/>
  <c r="U144" i="35"/>
  <c r="S148" i="35"/>
  <c r="S154" i="35"/>
  <c r="U147" i="35"/>
  <c r="T156" i="35"/>
  <c r="S149" i="35"/>
  <c r="T149" i="35"/>
  <c r="T150" i="35"/>
  <c r="S9" i="35"/>
  <c r="S144" i="35"/>
  <c r="T155" i="35"/>
  <c r="T9" i="35"/>
  <c r="U9" i="35"/>
  <c r="S150" i="35"/>
  <c r="T154" i="35"/>
  <c r="S155" i="35"/>
  <c r="T148" i="35"/>
  <c r="U154" i="35"/>
  <c r="U148" i="35"/>
  <c r="U155" i="35"/>
  <c r="T144" i="35"/>
  <c r="U149" i="35"/>
  <c r="S156" i="35"/>
  <c r="V155" i="35" l="1"/>
  <c r="V154" i="35"/>
  <c r="V148" i="35"/>
  <c r="V156" i="35"/>
  <c r="V144" i="35"/>
  <c r="V147" i="35"/>
  <c r="V150" i="35"/>
  <c r="V9" i="35"/>
  <c r="V149" i="35"/>
  <c r="Q150" i="35" l="1"/>
  <c r="Q147" i="35"/>
  <c r="Q149" i="35"/>
  <c r="Q154" i="35"/>
  <c r="R150" i="35"/>
  <c r="Q148" i="35"/>
  <c r="Q156" i="35"/>
  <c r="R156" i="35"/>
  <c r="R154" i="35"/>
  <c r="R144" i="35"/>
  <c r="R149" i="35"/>
  <c r="R155" i="35"/>
  <c r="Q144" i="35"/>
  <c r="R147" i="35"/>
  <c r="R9" i="35"/>
  <c r="R148" i="35"/>
  <c r="Q155" i="35"/>
  <c r="W155" i="35" l="1"/>
  <c r="W156" i="35"/>
  <c r="W154" i="35"/>
  <c r="W144" i="35"/>
  <c r="W148" i="35"/>
  <c r="W150" i="35"/>
  <c r="W149" i="35"/>
  <c r="W147" i="35"/>
  <c r="W9" i="35"/>
</calcChain>
</file>

<file path=xl/sharedStrings.xml><?xml version="1.0" encoding="utf-8"?>
<sst xmlns="http://schemas.openxmlformats.org/spreadsheetml/2006/main" count="1857" uniqueCount="924">
  <si>
    <t>Total</t>
  </si>
  <si>
    <t>Units</t>
  </si>
  <si>
    <t>Quantity</t>
  </si>
  <si>
    <t>lbs</t>
  </si>
  <si>
    <t>tons</t>
  </si>
  <si>
    <t>Item</t>
  </si>
  <si>
    <t>Unit</t>
  </si>
  <si>
    <t>PVC</t>
  </si>
  <si>
    <t>HDPE</t>
  </si>
  <si>
    <t>Steel</t>
  </si>
  <si>
    <t>HP</t>
  </si>
  <si>
    <t>Molasses</t>
  </si>
  <si>
    <t>Emulsified vegetable oil</t>
  </si>
  <si>
    <t>Totals</t>
  </si>
  <si>
    <t>Gasoline</t>
  </si>
  <si>
    <t>Diesel</t>
  </si>
  <si>
    <t>Notes</t>
  </si>
  <si>
    <t>Participant</t>
  </si>
  <si>
    <t>Equipment Type</t>
  </si>
  <si>
    <t>Activity or Notes</t>
  </si>
  <si>
    <t>Electrical Rating (kW)</t>
  </si>
  <si>
    <t>Hours Used</t>
  </si>
  <si>
    <t>Number of Samples</t>
  </si>
  <si>
    <t>Car</t>
  </si>
  <si>
    <t>Heavy-Duty Truck</t>
  </si>
  <si>
    <t>mpg</t>
  </si>
  <si>
    <t>General Scope</t>
  </si>
  <si>
    <t>Energy Used (kWh)</t>
  </si>
  <si>
    <t>Train (gptm)</t>
  </si>
  <si>
    <t>Parameter and Notes</t>
  </si>
  <si>
    <t>Conv. to tons</t>
  </si>
  <si>
    <t>Lookup Table</t>
  </si>
  <si>
    <t>Gravel/sand/clay</t>
  </si>
  <si>
    <t>Airplane</t>
  </si>
  <si>
    <t>Train</t>
  </si>
  <si>
    <t>NO DATA</t>
  </si>
  <si>
    <t>Bus</t>
  </si>
  <si>
    <t>Lookup Table (continued)</t>
  </si>
  <si>
    <t>mpg or pmpg</t>
  </si>
  <si>
    <t>W</t>
  </si>
  <si>
    <t>mpg = miles per gallon, gptm = gallons per ton-mile</t>
  </si>
  <si>
    <t>FOR CALCULATION ONLY - NOT FOR PRINTING</t>
  </si>
  <si>
    <t>Blue cells are calculated cells that are protected</t>
  </si>
  <si>
    <t>lb</t>
  </si>
  <si>
    <t>Photovoltaic system (installed)</t>
  </si>
  <si>
    <t>Other refined construction materials</t>
  </si>
  <si>
    <t>Other unrefined construction materials</t>
  </si>
  <si>
    <t>Cheese Whey</t>
  </si>
  <si>
    <t>gal x 1000</t>
  </si>
  <si>
    <t>Biodiesel</t>
  </si>
  <si>
    <t>Transportation</t>
  </si>
  <si>
    <t>Electricity Generation</t>
  </si>
  <si>
    <t>Off-Site</t>
  </si>
  <si>
    <t>On-site HAP process emissions</t>
  </si>
  <si>
    <t>On-site GHG emissions</t>
  </si>
  <si>
    <t>On-site carbon storage</t>
  </si>
  <si>
    <t xml:space="preserve">GHG offset by combusting landfill methane </t>
  </si>
  <si>
    <t>Truck (mpg)</t>
  </si>
  <si>
    <t>Barge (gptm)</t>
  </si>
  <si>
    <t>Aircraft (gptm)</t>
  </si>
  <si>
    <t>Equipment types are available with various engine sizes.  Specific equipment sizes should be used when available.  The above "representative sizes" are provided as general guides in the absence of other information</t>
  </si>
  <si>
    <t>Asphalt paver (150 HP)</t>
  </si>
  <si>
    <t>Backhoe (100 HP)</t>
  </si>
  <si>
    <t>Concrete paving machine (200 HP)</t>
  </si>
  <si>
    <t>Drilling - direct push (60 HP)</t>
  </si>
  <si>
    <t>Drilling - large rig (500 HP)</t>
  </si>
  <si>
    <t>Drilling - medium rig (150 HP)</t>
  </si>
  <si>
    <t>Dozer - large (200 HP)</t>
  </si>
  <si>
    <t>Dozer - small (100 HP)</t>
  </si>
  <si>
    <t>Dump truck (400 HP)</t>
  </si>
  <si>
    <t>Excavator - large (250 HP)</t>
  </si>
  <si>
    <t>Excavator - medium (175 HP)</t>
  </si>
  <si>
    <t>Excavator/hoe - small (75 HP)</t>
  </si>
  <si>
    <t>Generator - HP varies</t>
  </si>
  <si>
    <t>Grader (175 HP)</t>
  </si>
  <si>
    <t>Grout pump (20 HP)</t>
  </si>
  <si>
    <t>Hydroseeder (20 HP)</t>
  </si>
  <si>
    <t>Integrated tool carrier (100 HP)</t>
  </si>
  <si>
    <t>Loader (200 HP)</t>
  </si>
  <si>
    <t>Mobile laboratory (25 HP)</t>
  </si>
  <si>
    <t>Mowers (5 HP)</t>
  </si>
  <si>
    <t>Other - HP varies</t>
  </si>
  <si>
    <t>Riding trencher (55 HP)</t>
  </si>
  <si>
    <t>Roller (100 HP)</t>
  </si>
  <si>
    <t>Rotary-screw air compressor - 250 cfm (60 HP)</t>
  </si>
  <si>
    <t>Skid-steer - small (60 HP)</t>
  </si>
  <si>
    <t>Telescopic handler (60 HP)</t>
  </si>
  <si>
    <t>Tractor mower (25 HP)</t>
  </si>
  <si>
    <t>Water truck (400 HP)</t>
  </si>
  <si>
    <t>B20</t>
  </si>
  <si>
    <t>Natural Gas</t>
  </si>
  <si>
    <t>mpccf</t>
  </si>
  <si>
    <t>Units per HP-hr</t>
  </si>
  <si>
    <t>gal</t>
  </si>
  <si>
    <t>Tons</t>
  </si>
  <si>
    <t>On-Site</t>
  </si>
  <si>
    <t>Other NOx emissions or reductions</t>
  </si>
  <si>
    <t>Other SOx emissions or reductions</t>
  </si>
  <si>
    <t>Other PM emissions or reductions</t>
  </si>
  <si>
    <t>Example Items Eliminated through Screening Process</t>
  </si>
  <si>
    <t>Landfill Gas (ccf)</t>
  </si>
  <si>
    <t>Landfill Gas Methane Used (ccf)</t>
  </si>
  <si>
    <t>Total Grid Electricity Used</t>
  </si>
  <si>
    <t>Renewable Electricity Generated On-Site*</t>
  </si>
  <si>
    <t>On-Site Electricity Use</t>
  </si>
  <si>
    <t>On-Site Natural Gas Use</t>
  </si>
  <si>
    <t>Off-Site Laboratory Analysis</t>
  </si>
  <si>
    <t>Electricity</t>
  </si>
  <si>
    <t>mpkWh</t>
  </si>
  <si>
    <t>Item or Service Used</t>
  </si>
  <si>
    <t>Parameters Used, Extracted, Emitted, or Generated</t>
  </si>
  <si>
    <t>User Defined Conversion Factors</t>
  </si>
  <si>
    <t>Fuel Mix for Grid Electricity</t>
  </si>
  <si>
    <t>Conventional Energy</t>
  </si>
  <si>
    <t>Coal</t>
  </si>
  <si>
    <t>Oil</t>
  </si>
  <si>
    <t>Nuclear</t>
  </si>
  <si>
    <t>Renewable Energy</t>
  </si>
  <si>
    <t>Biomass</t>
  </si>
  <si>
    <t>Geothermal</t>
  </si>
  <si>
    <t>Hydro</t>
  </si>
  <si>
    <t>Solar</t>
  </si>
  <si>
    <t>Wind</t>
  </si>
  <si>
    <t>Electricity generated on-site by renewable resources</t>
  </si>
  <si>
    <t>Landfill gas combusted on-site for energy use</t>
  </si>
  <si>
    <t xml:space="preserve">On-Site Conventional Energy </t>
  </si>
  <si>
    <t>Other On-Site Contributions</t>
  </si>
  <si>
    <t>Other</t>
  </si>
  <si>
    <t>Fuel Processing</t>
  </si>
  <si>
    <t>Resource Extraction for Electricity</t>
  </si>
  <si>
    <t>Coal extraction and processing</t>
  </si>
  <si>
    <t>Natural gas extraction and processing</t>
  </si>
  <si>
    <t>Nuclear fuel extraction and processing</t>
  </si>
  <si>
    <t>Oil extraction and processing</t>
  </si>
  <si>
    <t>Electricity Transmission</t>
  </si>
  <si>
    <t>MWh</t>
  </si>
  <si>
    <r>
      <t>ccf CH</t>
    </r>
    <r>
      <rPr>
        <vertAlign val="subscript"/>
        <sz val="10"/>
        <color theme="1"/>
        <rFont val="Times New Roman"/>
        <family val="1"/>
      </rPr>
      <t>4</t>
    </r>
  </si>
  <si>
    <t>Gal</t>
  </si>
  <si>
    <t>ccf</t>
  </si>
  <si>
    <t>Lbs</t>
  </si>
  <si>
    <t>TBD</t>
  </si>
  <si>
    <t>Ref.</t>
  </si>
  <si>
    <t>PM
(lbs/unit)</t>
  </si>
  <si>
    <t>Energy
(MMBtu/unit)</t>
  </si>
  <si>
    <t>Path Name:</t>
  </si>
  <si>
    <t>Main File Name:</t>
  </si>
  <si>
    <t>Default Distance*</t>
  </si>
  <si>
    <t>* Default distance is one-way distance from site to disposal facility that can be used in absence of other information.</t>
  </si>
  <si>
    <t>Efficiency
(%)</t>
  </si>
  <si>
    <t>Loader - small (75 HP)</t>
  </si>
  <si>
    <t>Other Treatment Chemicals &amp; Materials</t>
  </si>
  <si>
    <t>Voluntary purchase of renewable electricity</t>
  </si>
  <si>
    <t>Voluntary purchase of RECs</t>
  </si>
  <si>
    <t>Grid electricity</t>
  </si>
  <si>
    <t>Transportation biodiesel use</t>
  </si>
  <si>
    <t>* Enter units and conversion factors on "User Defined Factors" tab</t>
  </si>
  <si>
    <t>Notes and References</t>
  </si>
  <si>
    <t>The "Lookup" worksheet is for reference only, and is not intended for user input.</t>
  </si>
  <si>
    <t>Description of purchased RECs</t>
  </si>
  <si>
    <t>Provider:</t>
  </si>
  <si>
    <t>Type of product:</t>
  </si>
  <si>
    <t>Type of renewable energy source:</t>
  </si>
  <si>
    <t>Date of renewable system installation:</t>
  </si>
  <si>
    <t>Description of purchased renewable electricity 
(green pricing product or 
green marketing product)</t>
  </si>
  <si>
    <t>Transportation diesel use</t>
  </si>
  <si>
    <t>Transportation gasoline use</t>
  </si>
  <si>
    <t>Transportation natural gas use</t>
  </si>
  <si>
    <t>Other conventional energy transportation #1</t>
  </si>
  <si>
    <t>Other conventional energy transportation #2</t>
  </si>
  <si>
    <t>Other renewable energy transportation #1</t>
  </si>
  <si>
    <t>Other renewable energy transportation #2</t>
  </si>
  <si>
    <t>Stainless steel</t>
  </si>
  <si>
    <t>Biodiesel produced</t>
  </si>
  <si>
    <t>Diesel produced</t>
  </si>
  <si>
    <t>Gasoline produced</t>
  </si>
  <si>
    <t>Natural gas produced</t>
  </si>
  <si>
    <t>Transmission and distribution losses</t>
  </si>
  <si>
    <t>Other fuel extraction and processing</t>
  </si>
  <si>
    <t>ccf CH4</t>
  </si>
  <si>
    <t>Ref</t>
  </si>
  <si>
    <t>** Enter a positive number for emissions and a negative number for reductions, avoidances, or storage</t>
  </si>
  <si>
    <t>Red cells are for manual data input from a drop-down list of selections and are protected</t>
  </si>
  <si>
    <t>Number of One-way Trips to Site</t>
  </si>
  <si>
    <t>Number of Roundtrips to Site</t>
  </si>
  <si>
    <t>Other Voluntary Renewable Energy Use</t>
  </si>
  <si>
    <t>lbs CO2e</t>
  </si>
  <si>
    <t>GHG
(lbs CO2e/unit)</t>
  </si>
  <si>
    <t>Component</t>
  </si>
  <si>
    <t>Type of Fuel</t>
  </si>
  <si>
    <t>Location of renewable system installation:</t>
  </si>
  <si>
    <t>Material Type</t>
  </si>
  <si>
    <t>Total Refined Material</t>
  </si>
  <si>
    <t>Total Unrefined Material</t>
  </si>
  <si>
    <t xml:space="preserve">Materials Use and Transportation </t>
  </si>
  <si>
    <t>Public Water Supply</t>
  </si>
  <si>
    <t>Extracted Groundwater</t>
  </si>
  <si>
    <t>Surface Water</t>
  </si>
  <si>
    <t>Reclaimed Water</t>
  </si>
  <si>
    <t>Collected/Diverted Storm Water</t>
  </si>
  <si>
    <t>Water Use</t>
  </si>
  <si>
    <t>Recycled/Reused On-Site</t>
  </si>
  <si>
    <t>Recycled/Reused Off-Site</t>
  </si>
  <si>
    <t>Waste/Recycle Handling</t>
  </si>
  <si>
    <t>Lab Services</t>
  </si>
  <si>
    <t>Public Water</t>
  </si>
  <si>
    <t>HAPs
(lbs/unit)</t>
  </si>
  <si>
    <t>NOx
(lbs/unit)</t>
  </si>
  <si>
    <t>SOx
(lbs/unit)</t>
  </si>
  <si>
    <t>Total Virgin Refined Materials</t>
  </si>
  <si>
    <t>Total Recycled Refined Materials</t>
  </si>
  <si>
    <t>Total Reused Refined Materials</t>
  </si>
  <si>
    <t>Total Virgin Unrefined Materials</t>
  </si>
  <si>
    <t>Total Recycled Unrefined Materials</t>
  </si>
  <si>
    <t>Total Reused Unrefined Materials</t>
  </si>
  <si>
    <t>Material Type Summary</t>
  </si>
  <si>
    <t>Treatment Materials &amp; Chemicals With Footprint</t>
  </si>
  <si>
    <t>Construction Materials With footprint</t>
  </si>
  <si>
    <t>User Defined Waste Options</t>
  </si>
  <si>
    <t>Total Non-Hazardous Waste</t>
  </si>
  <si>
    <t>Total Hazardous Waste</t>
  </si>
  <si>
    <t>Total Recycled/Reused</t>
  </si>
  <si>
    <t>In Tons</t>
  </si>
  <si>
    <t>Amount</t>
  </si>
  <si>
    <t>Solid Waste Totals</t>
  </si>
  <si>
    <t>User-defined Materials with footprints</t>
  </si>
  <si>
    <t>Total Waste (all types)</t>
  </si>
  <si>
    <t>*User-Defined</t>
  </si>
  <si>
    <t>Notes and Description of Waste</t>
  </si>
  <si>
    <t>Input Workbook</t>
  </si>
  <si>
    <t>Transportation Totals</t>
  </si>
  <si>
    <t>Transportation Fuel Use Breakdown</t>
  </si>
  <si>
    <t>Gasoline use - Equipment Transport</t>
  </si>
  <si>
    <t>Diesel use - Equipment Transport</t>
  </si>
  <si>
    <t>Diesel use - Material Transport</t>
  </si>
  <si>
    <t>Diesel use - Waste Transport</t>
  </si>
  <si>
    <t>Biodiesel use - Personnel Transport</t>
  </si>
  <si>
    <t>Biodiesel use - Equipment Transport</t>
  </si>
  <si>
    <t>Biodiesel use - Material Transport</t>
  </si>
  <si>
    <t>Biodiesel use - Waste Transport</t>
  </si>
  <si>
    <t>NOTE:  Must be grouped to a component to calculate</t>
  </si>
  <si>
    <r>
      <rPr>
        <b/>
        <sz val="10"/>
        <color theme="1"/>
        <rFont val="Times New Roman"/>
        <family val="1"/>
      </rPr>
      <t>GHG</t>
    </r>
    <r>
      <rPr>
        <b/>
        <sz val="9"/>
        <color theme="1"/>
        <rFont val="Times New Roman"/>
        <family val="1"/>
      </rPr>
      <t xml:space="preserve">
(lbs CO2e/unit)</t>
    </r>
  </si>
  <si>
    <t>&lt;Equip. with HP, Efficiency, and Hours&gt;</t>
  </si>
  <si>
    <t>&lt;Equip. with known total Energy Used&gt;</t>
  </si>
  <si>
    <t>&lt;Equip. with known kW rating&gt;</t>
  </si>
  <si>
    <t>Type of Well</t>
  </si>
  <si>
    <t>Well Casing Material</t>
  </si>
  <si>
    <t>Screen Length</t>
  </si>
  <si>
    <t>8-inch</t>
  </si>
  <si>
    <t>Well Diameter</t>
  </si>
  <si>
    <t>2-inch</t>
  </si>
  <si>
    <t>4-inch</t>
  </si>
  <si>
    <t>6-inch</t>
  </si>
  <si>
    <t>10-inch</t>
  </si>
  <si>
    <t>12-inch</t>
  </si>
  <si>
    <t>SCH 40 PVC Casing</t>
  </si>
  <si>
    <t>Casing Material</t>
  </si>
  <si>
    <t>Pounds per Foot of Well Length</t>
  </si>
  <si>
    <t>SCH 80 PVC Casing</t>
  </si>
  <si>
    <t>SCH 40 Steel Casing</t>
  </si>
  <si>
    <t>SCH 80 Steel Casing</t>
  </si>
  <si>
    <t>USER DEFINED Casing</t>
  </si>
  <si>
    <t>Estimated Total Electricity Usage Based on Above</t>
  </si>
  <si>
    <t>Component 1</t>
  </si>
  <si>
    <t>Component 2</t>
  </si>
  <si>
    <t>Component 3</t>
  </si>
  <si>
    <t>Component 4</t>
  </si>
  <si>
    <t>Component 5</t>
  </si>
  <si>
    <t>Component 6</t>
  </si>
  <si>
    <t>Source: Most of the information in the above table is from EPA's "Methodology for Understanding and Reducing a Project's Environmental Footprint," February 2012.  Additional material weight factors for Schedule 80 PVC, Schedule 40 Steel, and Schedule 80 Steel, are from "Groundwater and Wells, Second Edition", by Johnson Filtration Systems Inc., 1986.</t>
  </si>
  <si>
    <t>Personnel Transportation</t>
  </si>
  <si>
    <t>On-Site Equipment Use and Transportation</t>
  </si>
  <si>
    <t>Waste Disposal and Transportation</t>
  </si>
  <si>
    <t>Stick-up Height in Feet (if applicable)</t>
  </si>
  <si>
    <t>Well Casing Diameter in Inches</t>
  </si>
  <si>
    <t>User-defined on-site conventional energy use #1</t>
  </si>
  <si>
    <t>User-defined on-site conventional energy use #2</t>
  </si>
  <si>
    <t>User-defined conventional energy transportation #1</t>
  </si>
  <si>
    <t>User-defined conventional energy transportation #2</t>
  </si>
  <si>
    <t>User-defined on-site renewable energy use #1</t>
  </si>
  <si>
    <t>User-defined on-site renewable energy use #2</t>
  </si>
  <si>
    <t>User-defined renewable energy transportation #1</t>
  </si>
  <si>
    <t>User-defined renewable energy transportation #2</t>
  </si>
  <si>
    <t>Off</t>
  </si>
  <si>
    <t xml:space="preserve"> </t>
  </si>
  <si>
    <t>Source Location/Aquifer (optional)</t>
  </si>
  <si>
    <t>Water Uses (optional)</t>
  </si>
  <si>
    <t>Fate of Used Water (optional)</t>
  </si>
  <si>
    <t xml:space="preserve">On-site Renewable Energy </t>
  </si>
  <si>
    <t>Biodiesel used on-site</t>
  </si>
  <si>
    <t>Other forms of on-site conventional energy use #1</t>
  </si>
  <si>
    <t>Other forms of on-site conventional energy use #2</t>
  </si>
  <si>
    <t>On-site natural gas use</t>
  </si>
  <si>
    <t>Other on-site renewable energy use #1</t>
  </si>
  <si>
    <t>Other on-site renewable energy use #2</t>
  </si>
  <si>
    <t>User Defined Conversion Factors for "Other" Fuel Type in Fuel Mix table (above)</t>
  </si>
  <si>
    <t>Other (enter information in table below)</t>
  </si>
  <si>
    <t>Fuel extraction &amp; processing for "Other" fuel</t>
  </si>
  <si>
    <t>Electricity generation with "Other" fuel</t>
  </si>
  <si>
    <r>
      <t xml:space="preserve">Total Depth of Well in Feet
</t>
    </r>
    <r>
      <rPr>
        <sz val="9"/>
        <color theme="1"/>
        <rFont val="Calibri"/>
        <family val="2"/>
        <scheme val="minor"/>
      </rPr>
      <t>(from ground surface to bottom of well, including screen)</t>
    </r>
  </si>
  <si>
    <t>Efficiency (%)</t>
  </si>
  <si>
    <t xml:space="preserve">Enter the path name (if not saved in the same directory) and file name of the "Main" workbook for the project.  </t>
  </si>
  <si>
    <t>1) Overview</t>
  </si>
  <si>
    <t>2) Adding and Aligning "Input" Tabs</t>
  </si>
  <si>
    <t>Mix per Remedy Component</t>
  </si>
  <si>
    <t>% of Total</t>
  </si>
  <si>
    <t>User Defined Activity, Material, or Service</t>
  </si>
  <si>
    <t>Number of Wells</t>
  </si>
  <si>
    <t>Well Construction Material Factors</t>
  </si>
  <si>
    <t>Grout for Annulus</t>
  </si>
  <si>
    <t>Grout to Abandon Well</t>
  </si>
  <si>
    <t>Sand for Annulus</t>
  </si>
  <si>
    <t>Drill Cuttings for Disposal</t>
  </si>
  <si>
    <t>Gallons</t>
  </si>
  <si>
    <t>Pounds</t>
  </si>
  <si>
    <t>Water for Annulus (to mix cement)</t>
  </si>
  <si>
    <t>Grout to Abandon Well(s)</t>
  </si>
  <si>
    <t>Water for Grout to Abandon Well(s)</t>
  </si>
  <si>
    <r>
      <rPr>
        <b/>
        <i/>
        <sz val="11"/>
        <color theme="1"/>
        <rFont val="Calibri"/>
        <family val="2"/>
        <scheme val="minor"/>
      </rPr>
      <t xml:space="preserve">Notes on Calculations: 
</t>
    </r>
    <r>
      <rPr>
        <i/>
        <sz val="11"/>
        <color theme="1"/>
        <rFont val="Calibri"/>
        <family val="2"/>
        <scheme val="minor"/>
      </rPr>
      <t>- Calculation for screened pipe assumes that the weight of screened pipe is equal to weight of casing.
- Calculations for Grout Material, Sand Pack Material, and Soil Cuttings for Disposal assume annulus around casing has a diameter that is 4 inches larger than the casing.
- Grout values are for weight of unmixed cement, assuming 6 gallons of water is mixed with 94 pounds of neat cement with a blended density of 15 pounds per gallon (generally typical of engineering specifications).
- Drill cutting volume does not include drilling mud for mud rotary drilling.</t>
    </r>
  </si>
  <si>
    <t>Screen Material</t>
  </si>
  <si>
    <t>Grout for Annulus (Cement)</t>
  </si>
  <si>
    <t>Sand Pack Material (Gravel/Sand)</t>
  </si>
  <si>
    <t>Soil Cuttings for Disposal</t>
  </si>
  <si>
    <t>Well Material Calculator - 1</t>
  </si>
  <si>
    <t>Notes on Well Material Calculations - 1:</t>
  </si>
  <si>
    <t>Notes on Well Material Calculations - 2:</t>
  </si>
  <si>
    <t>Well Material Calculator - 2</t>
  </si>
  <si>
    <t>Well Details - 1</t>
  </si>
  <si>
    <t>Materials Required - 1</t>
  </si>
  <si>
    <t>Well Details - 2</t>
  </si>
  <si>
    <t>Materials Required - 2</t>
  </si>
  <si>
    <t>Well Material Calculator - 3</t>
  </si>
  <si>
    <t>Notes on Well Material Calculations - 3:</t>
  </si>
  <si>
    <t>Well Details - 3</t>
  </si>
  <si>
    <t>Materials Required - 3</t>
  </si>
  <si>
    <t>Input Instructions</t>
  </si>
  <si>
    <t>Remedy Component Names</t>
  </si>
  <si>
    <t>Component names are autofilled from the "Main" workbook.</t>
  </si>
  <si>
    <t>Input Summary</t>
  </si>
  <si>
    <t>Natural Gas use - Personnel Transport</t>
  </si>
  <si>
    <t>Natural Gas use - Equipment Transport</t>
  </si>
  <si>
    <t>On-site biodiesel use</t>
  </si>
  <si>
    <t>On-Site Conventional Energy</t>
  </si>
  <si>
    <t>Construction Materials</t>
  </si>
  <si>
    <t>Treatment Materials &amp; Chemicals</t>
  </si>
  <si>
    <t>User-defined Waste Destinations</t>
  </si>
  <si>
    <t>Off-site waste water treatment (POTW)</t>
  </si>
  <si>
    <r>
      <t xml:space="preserve">Please specify which Remedy Component this Input worksheet is part of:
</t>
    </r>
    <r>
      <rPr>
        <sz val="12"/>
        <color theme="1"/>
        <rFont val="Calibri"/>
        <family val="2"/>
        <scheme val="minor"/>
      </rPr>
      <t>(Select "Off" to exclude this Input worksheet from calculations and results)</t>
    </r>
  </si>
  <si>
    <t>This Input worksheet is excluded from calculations and results</t>
  </si>
  <si>
    <t>Remedy Component that this Input worksheet is part of:</t>
  </si>
  <si>
    <t>Space below provided for additional notes and supporting calculations</t>
  </si>
  <si>
    <t>Roundtrip Distance to Site
(miles)</t>
  </si>
  <si>
    <t>Total Distance Transported (miles)</t>
  </si>
  <si>
    <t>Equipment Hours Operated</t>
  </si>
  <si>
    <t>Number of Equipment Roundtrips to Site</t>
  </si>
  <si>
    <t>* Electricity generated on-site from renewable resources, for which the facility retains the rights to the renewable energy (i.e., does not sell renewable energy certificates associated with the renewable energy generation).</t>
  </si>
  <si>
    <t>Power Rating (Btu/hr)</t>
  </si>
  <si>
    <t>Energy Required (Btu)</t>
  </si>
  <si>
    <t>Natural Gas Used (ccf)</t>
  </si>
  <si>
    <t>% Methane by volume</t>
  </si>
  <si>
    <t>Transport Fuel Type</t>
  </si>
  <si>
    <t>Fuel Used for Materials Transport
(gallons)</t>
  </si>
  <si>
    <t>Notes and Description of Materials</t>
  </si>
  <si>
    <t>Material Type*</t>
  </si>
  <si>
    <t>Mode of Transportation**</t>
  </si>
  <si>
    <t>Off-site non-hazardous waste landfill</t>
  </si>
  <si>
    <t>Off-site hazardous waste landfill</t>
  </si>
  <si>
    <t>Recycled/reused on-site</t>
  </si>
  <si>
    <t>Recycled/reused off-site</t>
  </si>
  <si>
    <t>Fuel Used for Waste Transport (gallons)</t>
  </si>
  <si>
    <t>Quality of Water Used (optional)</t>
  </si>
  <si>
    <t>Other On-site Emissions</t>
  </si>
  <si>
    <t>On-site HAP process emissions**</t>
  </si>
  <si>
    <t>On-site GHG emissions**</t>
  </si>
  <si>
    <t>On-site carbon storage**</t>
  </si>
  <si>
    <t>GHG avoided by flaring on-site landfill methane</t>
  </si>
  <si>
    <t>Other on-site NOx emissions or reductions**</t>
  </si>
  <si>
    <t>Other on-site SOx emissions or reductions**</t>
  </si>
  <si>
    <t>Other on-site PM emissions or reductions**</t>
  </si>
  <si>
    <t>Other on-site NOx emissions or reductions</t>
  </si>
  <si>
    <t>Other on-site SOx emissions or reductions</t>
  </si>
  <si>
    <t>Other on-site PM emissions or reductions</t>
  </si>
  <si>
    <t>Lbs CO2e</t>
  </si>
  <si>
    <t>PM
(lbs/MWh)</t>
  </si>
  <si>
    <t>Air Toxics
(lbs/MWh)</t>
  </si>
  <si>
    <r>
      <t xml:space="preserve">GHG
</t>
    </r>
    <r>
      <rPr>
        <b/>
        <sz val="9"/>
        <color theme="1"/>
        <rFont val="Times New Roman"/>
        <family val="1"/>
      </rPr>
      <t>(lbs CO2e/MWh)</t>
    </r>
  </si>
  <si>
    <r>
      <t xml:space="preserve">NOx
</t>
    </r>
    <r>
      <rPr>
        <b/>
        <sz val="9"/>
        <color theme="1"/>
        <rFont val="Times New Roman"/>
        <family val="1"/>
      </rPr>
      <t>(lbs/MWh)</t>
    </r>
  </si>
  <si>
    <t>SOx
(lbs/MWh)</t>
  </si>
  <si>
    <t>User-defined emissions for biodiesel on-site equipment</t>
  </si>
  <si>
    <t>User-defined emissions for diesel on-site equipment</t>
  </si>
  <si>
    <t>User-defined emissions for gasoline on-site equipment</t>
  </si>
  <si>
    <t>User-defined emissions for natural gas on-site equipment</t>
  </si>
  <si>
    <t>User-defined emissions for biodiesel transportation</t>
  </si>
  <si>
    <t>User-defined emissions for diesel transportation</t>
  </si>
  <si>
    <t>User-defined emissions for gasoline transportation</t>
  </si>
  <si>
    <t>User-defined emissions for natural gas transportation</t>
  </si>
  <si>
    <t>Tons per Unit*</t>
  </si>
  <si>
    <t>Use this row only for:</t>
  </si>
  <si>
    <t>* "Tons per unit" refers to how many tons there are per unit of the material (e.g., 1 pound is 1/2000 of a ton or 0.0005 tons per unit)</t>
  </si>
  <si>
    <t>Use this tool to calculate the amount of material required for a well of specified type, depth, and diameter.  This page is a calculator only and not linked to the "Input" tabs.  The user must manually enter the results from the "Materials Required" table below into the appropriate "Input" tab.</t>
  </si>
  <si>
    <t>Renewable electricity generated on-site</t>
  </si>
  <si>
    <t>User-defined material #1</t>
  </si>
  <si>
    <t>User-defined material #2</t>
  </si>
  <si>
    <t>User-defined material #3</t>
  </si>
  <si>
    <t>User-defined material #4</t>
  </si>
  <si>
    <t>User-defined material #5</t>
  </si>
  <si>
    <t>User-defined material #6</t>
  </si>
  <si>
    <t>User-defined material #7</t>
  </si>
  <si>
    <t>User-defined material #8</t>
  </si>
  <si>
    <t>User-defined material #9</t>
  </si>
  <si>
    <t>User-defined material #10</t>
  </si>
  <si>
    <t>User-defined material #11</t>
  </si>
  <si>
    <t>User-defined material #12</t>
  </si>
  <si>
    <t>User-defined material #13</t>
  </si>
  <si>
    <t>User-defined material #14</t>
  </si>
  <si>
    <t>User-defined material #15</t>
  </si>
  <si>
    <t>User-defined material #16</t>
  </si>
  <si>
    <t>User-defined material #17</t>
  </si>
  <si>
    <t>User-defined material #18</t>
  </si>
  <si>
    <t>User-defined material #19</t>
  </si>
  <si>
    <t>User-defined material #20</t>
  </si>
  <si>
    <t>User-defined recycled/reused on-site #1</t>
  </si>
  <si>
    <t>User-defined recycled/reused on-site #2</t>
  </si>
  <si>
    <t>User-defined recycled/reused on-site #3</t>
  </si>
  <si>
    <t>User-defined recycled/reused off-site #1</t>
  </si>
  <si>
    <t>User-defined recycled/reused off-site #2</t>
  </si>
  <si>
    <t>User-defined recycled/reused off-site #3</t>
  </si>
  <si>
    <t>User-defined non-hazardous waste destination #1</t>
  </si>
  <si>
    <t>User-defined non-hazardous waste destination #2</t>
  </si>
  <si>
    <t>User-defined non-hazardous waste destination #3</t>
  </si>
  <si>
    <t>User-defined hazardous waste destination #1</t>
  </si>
  <si>
    <t>User-defined hazardous waste destination #2</t>
  </si>
  <si>
    <t>User-defined hazardous waste destination #3</t>
  </si>
  <si>
    <t>The following color coding applies to cells in the worksheets in this workbook.</t>
  </si>
  <si>
    <t>Yellow cells are for manual data input</t>
  </si>
  <si>
    <t>Green cells indicate notes or instructions</t>
  </si>
  <si>
    <t>Gray cells are not available and/or not applicable for data entry</t>
  </si>
  <si>
    <t>The “Input” workbook is used for data entry of site and remedy information.  The majority of this data is entered in the “Input” tabs.  Additional information may be entered in the “Input Summary”, “Grid Electricity”, “User Defined Factors”, and “Well Material Calculator” tabs.</t>
  </si>
  <si>
    <r>
      <rPr>
        <b/>
        <i/>
        <sz val="10"/>
        <color theme="6" tint="-0.499984740745262"/>
        <rFont val="Arial"/>
        <family val="2"/>
      </rPr>
      <t>"Well Material Calculator" Tab</t>
    </r>
    <r>
      <rPr>
        <i/>
        <sz val="10"/>
        <color theme="6" tint="-0.499984740745262"/>
        <rFont val="Arial"/>
        <family val="2"/>
      </rPr>
      <t xml:space="preserve">: </t>
    </r>
    <r>
      <rPr>
        <sz val="10"/>
        <rFont val="Arial"/>
        <family val="2"/>
      </rPr>
      <t>Data entry is not required in this tab.  The Well Material Calculator is provided as a convenience to the user.  The Calculator uses a lookup table to calculate the amount of casing material, screen material, cement, and sand/gravel that would be required to build a well, based on specifications entered by the user.  See the “Well Material Calculator” tab for specifics on the use of the Calculator.</t>
    </r>
  </si>
  <si>
    <r>
      <rPr>
        <b/>
        <sz val="10"/>
        <color theme="6" tint="-0.499984740745262"/>
        <rFont val="Arial"/>
        <family val="2"/>
      </rPr>
      <t>Additional Notes</t>
    </r>
    <r>
      <rPr>
        <sz val="10"/>
        <color theme="6" tint="-0.499984740745262"/>
        <rFont val="Arial"/>
        <family val="2"/>
      </rPr>
      <t>:</t>
    </r>
  </si>
  <si>
    <t>3) Setting Up the "Input Summary" Tab</t>
  </si>
  <si>
    <t>5) Using the "Grid Electricity" Tab</t>
  </si>
  <si>
    <t>6) Using the "User Defined Factors" Tab</t>
  </si>
  <si>
    <t>(a) Combustion of fuels (both renewable and “conventional”) for transportation and on-site equipment</t>
  </si>
  <si>
    <t>(b) Off-site manufacturing or processing of materials</t>
  </si>
  <si>
    <t>(c) Off-site management and recycling of wastes</t>
  </si>
  <si>
    <t>7) Example of Aligning "Input" Tabs to Remedy Components</t>
  </si>
  <si>
    <t>Landfill Gas Combusted On-Site for Energy Use</t>
  </si>
  <si>
    <t>One-way Distance to Site Override (miles)</t>
  </si>
  <si>
    <t>Other Energy Use and Air Emissions</t>
  </si>
  <si>
    <t>Voluntary purchase of renewable electricity**</t>
  </si>
  <si>
    <t>Voluntary purchase of RECs**</t>
  </si>
  <si>
    <t>2) Alignment with Remedy Components (Rows 4 &amp; 5)</t>
  </si>
  <si>
    <t>The drop-down menu in Cell E4 is used for alignment of the “Input” tab with a Remedy Component.  Please see the “Input Instructions” tab in the “Input” workbook for instructions on aligning “Input” tabs.</t>
  </si>
  <si>
    <t>3) Comment Space (Row 7)</t>
  </si>
  <si>
    <t>(a) Selected cells between and among the tables in the main part of the worksheet</t>
  </si>
  <si>
    <t>(b) All cells beginning in Column X and extending to the right</t>
  </si>
  <si>
    <t>4) Personnel Transportation (Row 14)</t>
  </si>
  <si>
    <t>Use this table to model personnel transportation to and from the site.</t>
  </si>
  <si>
    <t>(i) For car or truck, the units are miles.</t>
  </si>
  <si>
    <t>(ii) For airplane/bus/train, the units are passenger-miles.</t>
  </si>
  <si>
    <t>(i) For car or truck, the units are miles/gallon or miles/ccf.</t>
  </si>
  <si>
    <t>(ii) For airplane/bus/train, the units are passenger-miles/gallon or passenger-miles/ccf.</t>
  </si>
  <si>
    <t>Load Factor
(%)</t>
  </si>
  <si>
    <t>5) On-Site Equipment Use and Transportation (Row 29)</t>
  </si>
  <si>
    <t>Use this table for combustion of natural gas on-site.  For example, natural gas may be used for heating buildings or treatment processes.</t>
  </si>
  <si>
    <t>Use this table to model the types and amounts of materials used for the remedy and to model the transport of the materials to the site.</t>
  </si>
  <si>
    <t>(ii) If you do not find the material you are looking for in the drop-down menu in Column A, you may add a “User-defined Material” to the drop-down menu.  For instructions, please see the “User Defined Factors” tab in the “Input” workbook.</t>
  </si>
  <si>
    <t>(iii) If you are using a material that is in the drop-down menu in Column A, but you have documented unique footprint conversion factors for that material that are different from the default footprint conversion factors in SEFA, you may add the unique material to the drop-down menu, as a “User-defined Material”.  For instructions, please see the “User Defined Factors” tab in the “Input” workbook.</t>
  </si>
  <si>
    <t>(i) The distinction between refined and unrefined material (Column F) is described in EPA’s Footprint Methodology (www.cluin.org/greenremediation/methodology).</t>
  </si>
  <si>
    <t>(ii) For background information on the selection in Column G between “Virgin”, “Recycled”, and “Reused” materials, see the discussion in Section 15 below.</t>
  </si>
  <si>
    <t>Waste Disposal</t>
  </si>
  <si>
    <t>(i) SEFA assumes no energy or air emissions footprint from the “Recycled/Reused On-Site” and “Recycled/Reused Off-Site” selections in the drop-down menu in Column A.  To include energy or air emissions footprints for recycled or reused waste in the footprint analysis, you may add a “User-defined” item to the drop-down menu.  For instructions, please see the “User Defined Factors” tab in the “Input” workbook.</t>
  </si>
  <si>
    <t>(iii) If you are using a waste destination or process that is in the drop-down menu in Column A, but you have documented unique footprint conversion factors for that waste destination or process that are different from the default footprint conversion factors in SEFA, you may add the unique waste destination or process to the drop-down menu, as a “User-defined” item.  For instructions, please see the “User Defined Factors” tab in the “Input” workbook.</t>
  </si>
  <si>
    <t>(ii) For waste that is recycled/reused, no distinction is made in SEFA between hazardous and non-hazardous waste.  This conforms with EPA’s Footprint Methodology (www.cluin.org/greenremediation/methodology).</t>
  </si>
  <si>
    <t xml:space="preserve">(c) Although wastewater sent to a POTW is not strictly speaking a “waste”, that item has been included in the “Waste Disposal and Transportation” table (in the drop-down menu in Column A) for the user’s convenience.    </t>
  </si>
  <si>
    <t>Waste Transportation</t>
  </si>
  <si>
    <t>(i) If “Truck (mpg)” is being used for transport of the water, leave Columns A - H of the “Materials” table blank, and enter the relevant transport information in Columns I - Q.</t>
  </si>
  <si>
    <t>Use this table to model the types and number of analyses conducted at off-site laboratories.</t>
  </si>
  <si>
    <t>(b) The second option, "Recycled”, describes a material that is created from sources that are being used for a second time or more.  A recycled material usually has a smaller footprint than a material from virgin sources.  There are several approaches for representing a recycled material in SEFA.</t>
  </si>
  <si>
    <t xml:space="preserve">(ii) You may select "Yes" in Column H if the item is assumed to have an energy and air emissions footprint similar to the footprint of the virgin material.  In this case the energy and air emissions footprint will be calculated using the default conversion factors in SEFA for the virgin material. </t>
  </si>
  <si>
    <t>16) Discussion of Miles per Gallon (mpg) vs Gallons per Ton-Mile (gptm)</t>
  </si>
  <si>
    <t>(ii) Typically, truck transport using mpg will most accurately represent short-haul scenarios.  These scenarios may include dump trucks hauling clean fill from a nearby borrow site, or hauling waste to a nearby municipal waste landfill.</t>
  </si>
  <si>
    <t>(b) Truck freight (gptm): Gallons per Ton-Mile is best used to describe the efficiency of hauling freight on a vehicle that may be carrying multiple loads to multiple locations, and is determined by how many gallons of fuel it takes to haul a ton of freight one mile.  Additional notes:</t>
  </si>
  <si>
    <t>(ii) Typically truck transport using gptm will most accurately represent long-haul scenarios.  These scenarios may include transporting steel or treatment chemicals from the manufacturing location to a local distribution yard or to the site.</t>
  </si>
  <si>
    <t>17) Additional Flexibility for Combustion of Fuels</t>
  </si>
  <si>
    <t>First row (virgin source):                 cement, 92000 lbs, refined, virgin, yes
Second row (reused source):         cement, 8000 lbs, refined, reused, no</t>
  </si>
  <si>
    <t>For use of this worksheet, please see instructions at the end of the worksheet</t>
  </si>
  <si>
    <t>"MMBtu" = millions of Btus</t>
  </si>
  <si>
    <t>Overview of User Defined Factors</t>
  </si>
  <si>
    <t>Notes for Use of this Worksheet</t>
  </si>
  <si>
    <t>(a) Combustion of fuels (both conventional and renewable) for transportation and on-site equipment</t>
  </si>
  <si>
    <t>(d) Use of conventional and renewable energy</t>
  </si>
  <si>
    <t>(3) In both examples above, the footprint conversion factors in Columns F - N would represent the GHG, NOx, SOx, PM, and HAPs emissions to air, associated with the combustion of the fuel.  The entry in Column F would be in units of lbs CO2e/gallon (that is, lbs CO2e emissions per gallon diesel combusted), Column H would be lbs NOx/gallon, etc.  If natural gas is used, the units would be lbs CO2e/ccf, lbs NOx/ccf, etc.</t>
  </si>
  <si>
    <t>"MWh" = megawatt hours (i.e., thousands of kilowatt-hours or millions of Watt-hours)</t>
  </si>
  <si>
    <t>(c) The entry for each fuel type must be less than 100% and the sum of all entries in each of the Columns B - L must add to 100%.</t>
  </si>
  <si>
    <t>Input Template</t>
  </si>
  <si>
    <t>Input Template (2)</t>
  </si>
  <si>
    <t>Input Template (3)</t>
  </si>
  <si>
    <t>Input Template (4)</t>
  </si>
  <si>
    <t>Input Template (5)</t>
  </si>
  <si>
    <t>Input Template (6)</t>
  </si>
  <si>
    <t>Input Template (7)</t>
  </si>
  <si>
    <t>Input Template (8)</t>
  </si>
  <si>
    <t>Input Template (9)</t>
  </si>
  <si>
    <t>Input Template (10)</t>
  </si>
  <si>
    <t>Input Template (11)</t>
  </si>
  <si>
    <t>Input Template (12)</t>
  </si>
  <si>
    <t>Input Template (13)</t>
  </si>
  <si>
    <t>Input Template (14)</t>
  </si>
  <si>
    <r>
      <t xml:space="preserve">Remedy Component Number </t>
    </r>
    <r>
      <rPr>
        <b/>
        <sz val="11"/>
        <color theme="1"/>
        <rFont val="Calibri"/>
        <family val="2"/>
      </rPr>
      <t>→</t>
    </r>
  </si>
  <si>
    <t>* See the "Detailed Notes and Explanations" tab for explanation of transport and fuel options.</t>
  </si>
  <si>
    <t>Default Fuel Usage Rate**</t>
  </si>
  <si>
    <t>Fuel Usage Rate Override**</t>
  </si>
  <si>
    <t>Fuel Used for Personnel Transport**</t>
  </si>
  <si>
    <t>Mode of Transportation*</t>
  </si>
  <si>
    <t>Equipment Type*</t>
  </si>
  <si>
    <t>HP*</t>
  </si>
  <si>
    <t>Load Factor
(%)*</t>
  </si>
  <si>
    <t>* Please see the “Detailed Notes and Explanations” tab for instructions on specifying “User-Defined Materials” in the dropdown menu.</t>
  </si>
  <si>
    <t>Is the Material Refined or Unrefined?**</t>
  </si>
  <si>
    <t>Material Source: Virgin, Recycled, or Reused?**</t>
  </si>
  <si>
    <t>Calculate Item Footprint?**</t>
  </si>
  <si>
    <t>Mode of Transportation***</t>
  </si>
  <si>
    <t>** Selections must be made in Columns F - H in order for the footprint calculations to be performed.  Please see the “Detailed Notes and Explanations” tab for further information.</t>
  </si>
  <si>
    <t>Waste Destination*</t>
  </si>
  <si>
    <t>* No footprint is calculated for the Recycled/Reused On-Site and Off-Site selections.  Please see the “Detailed Notes and Explanations” tab for instructions on specifying “User-Defined” selections in the dropdown menu.</t>
  </si>
  <si>
    <t>Source of Water Used*</t>
  </si>
  <si>
    <t>Note: Information entered in Columns F - V (Source/Quality/Use/Fate) is not compiled or reported by SEFA.</t>
  </si>
  <si>
    <t>See the “Detailed Notes and Explanations” tab for use of this table</t>
  </si>
  <si>
    <t xml:space="preserve">** Complete information on provider in the table to the right.  No footprint reductions are associated with the voluntary purchases.  </t>
  </si>
  <si>
    <t>Default One-way Distance to Site
(miles)</t>
  </si>
  <si>
    <r>
      <t xml:space="preserve">Note on User Defined Casing:  </t>
    </r>
    <r>
      <rPr>
        <i/>
        <sz val="11"/>
        <color theme="1"/>
        <rFont val="Calibri"/>
        <family val="2"/>
        <scheme val="minor"/>
      </rPr>
      <t>The "User Defined Casing" feature can be used to calculate the amount of material required for a well constructed of a material or size (schedule) other than the four options provided.  To use this feature, select "User Defined Casing" in the "Well Casing Material" drop-down menu in the “Well Details” table, then add the appropriate "pounds per foot of well length" factor to the “User Defined Casing” column of the “Well Construction Materials Factors” table, in the row that corresponds to the well diameter.  You must find or develop the unique "pounds per foot of well length" factor for the specific material, schedule, and diameter of pipe.  The Well Material Calculator will use this factor to calculate Casing Material required and total Screen Material required.  Note that if you select a material for the well casing that is not already included in the library of materials in SEFA, you must also develop emissions factors for the material's production and add these values to the “User Defined Factors” tab.  (See the “User Defined Factors” tab for specifics.)</t>
    </r>
  </si>
  <si>
    <t>Other Notes and References</t>
  </si>
  <si>
    <t>Transport Fuel Type*</t>
  </si>
  <si>
    <t>* HP and Load Factor must be entered by user in Columns C and D.  Please see the “Detailed Notes and Explanations” tab for further explanation.</t>
  </si>
  <si>
    <t>Please see the “Detailed Notes and Explanations” tab for instructions on using the two tables above (“On-site Natural Gas Use” and “Landfill Gas Combusted On-Site for Energy Use”).  In the two tables above, ccf = hundreds of cubic feet.</t>
  </si>
  <si>
    <t>(e) The user would like to test the environmental footprint from two groundwater monitoring regimes (which are equally effective for monitoring the site).  Therefore, the user creates a copy of the “Input Template” tab for the alternative regime, and names it “Alt. GW Monitoring”.  The user does not align this tab with the “Long-term Monitoring” remedy component, but keeps the tab turned “off”.  When testing the alternative, the user will align the “Alt. GW Monitoring” with the “Long-term Monitoring” remedy component and will turn the original “Groundwater Monitoring” tab “off”.</t>
  </si>
  <si>
    <t>(c) The user would like to better understand the footprints for three aspects of Reconstruction to determine which aspects to focus on for footprint reduction measures.  Therefore, the user creates three copies of the “Input Template” tab, names the copies accordingly, and aligns them with the “Reconstruction” remedy component.</t>
  </si>
  <si>
    <t>(b) The user views the excavation activities as a single discrete event, and so creates one copy of the “Input Template” tab, names it accordingly, and links it with the “Excavation” remedy component.</t>
  </si>
  <si>
    <t>(a) The user is interested in distinguishing between Phases 1 and 2 during Site Investigation because the Phases will occur six months apart.  Therefore, the user creates two copies of the “Input Template” tab, names the copies accordingly, and aligns them with the “Site Investigation” remedy component.</t>
  </si>
  <si>
    <r>
      <rPr>
        <u/>
        <sz val="10"/>
        <rFont val="Arial"/>
        <family val="2"/>
      </rPr>
      <t>Notes</t>
    </r>
    <r>
      <rPr>
        <b/>
        <u/>
        <sz val="10"/>
        <rFont val="Arial"/>
        <family val="2"/>
      </rPr>
      <t>:</t>
    </r>
  </si>
  <si>
    <t>In establishing these unique conversion factors, you should research and document the data, and enter it into the “User Defined Factors” tab.  Once entered, SEFA will automatically apply the conversion factors in the “Calculations” workbook.  Please see the “User Defined Factors” tab for specifics on establishing unique conversion factors.</t>
  </si>
  <si>
    <t>In the “User Defined Factors” tab, SEFA provides flexibility in establishing conversion factors for materials and activities that are unique to the remedy or site.  Unique conversion factors can be established for the following:</t>
  </si>
  <si>
    <t>SEFA is equipped with default footprint conversion factors for a variety of materials and activities.  The conversion factors are used to estimate the amount of energy required for, and the amount of NOx, SOx, PM, HAPs, and greenhouse gas emissions related to, the off-site production of materials or activities.  Additional conversion factors are used for energy and air emissions related to the combustion of fuels.  These default conversion factors can be viewed in the “Default Conversions” tab of the “Calculations” workbook and are applied automatically in the “Calculations” workbooks.</t>
  </si>
  <si>
    <t>You can set a single fuel mix for all Remedy Components, or you can specify individual fuel mixes for each of the 6 Remedy Components.  This allows for flexibility in the event that different grid electricity providers are used for different activities or areas at the site.  Please see the “Grid Electricity” tab for specifics on how to set the fuel mix for your site.</t>
  </si>
  <si>
    <t>4) Data Entry in the "Input Template" Tab</t>
  </si>
  <si>
    <t>(d) Be sure to reflect the exact tab name in Row 6 of the "Input Summary" tab, in order for it to be recognized by SEFA.</t>
  </si>
  <si>
    <t xml:space="preserve">(c) You may add the "Input" tab names in any order in Row 6 of the "Input Summary" tab.  They need not reflect the order of the tabs in the "Input" workbook. </t>
  </si>
  <si>
    <t xml:space="preserve">(b) Other than renaming the column headings with “Input” tab names (if necessary), no other data entry is required in the “Input Summary” tab.  </t>
  </si>
  <si>
    <t>(a) The Remedy Component Numbers in Row 4 of the “Input Summary” tab are automatically populated, based on the selections made in Row 4 of the “Input” tabs.</t>
  </si>
  <si>
    <t>(d) You should reserve the unused (blank) “Input Template” tab, in the event that it becomes necessary to create additional “Input” tabs at a later time.</t>
  </si>
  <si>
    <t>(c) You may want to allow certain “Input” tabs to remain non-aligned with the Remedy Components in some cases.  For example a non-aligned “Input” tab may be used for testing alternative designs or parameters for the remedy. The tab would be turned “off” when not included in the analysis, and would be re-aligned with a Remedy Component to be included in the analysis.</t>
  </si>
  <si>
    <t xml:space="preserve">(b) You may group multiple “Input” tabs under the same Remedy Component.  </t>
  </si>
  <si>
    <t>(a) You can create any number of “Input” tabs, but you may align a maximum of 14 “Input” tabs to the Remedy Components at any one time.</t>
  </si>
  <si>
    <r>
      <t>Creating Additional "Input" Tabs:</t>
    </r>
    <r>
      <rPr>
        <sz val="10"/>
        <rFont val="Arial"/>
        <family val="2"/>
      </rPr>
      <t xml:space="preserve"> To create a new “Input” tab, right-click the tab name of the "Input Template" tab, choose “move or copy”, check the box "create a copy" and then click "OK".  You can leave the tab name alone after copying (such as “Input Template (2), Input Template (3)”, etc.), or you can rename each new “Input” tab by right-clicking on the tab, choosing “rename”, and typing the new name.  If you rename an “Input” tab, you must also enter that new name on the “Input Summary” tab in the "Input" workbook, for the tab to be included in the footprint analysis.  (See instructions below for the “Input Summary” tab for more information on this topic.)  </t>
    </r>
  </si>
  <si>
    <t>You may want to create additional “Input” tabs to help organize your data entry.  When you create a new "Input" tab, you will typically want to align it with a Remedy Component.  These steps are described below.</t>
  </si>
  <si>
    <r>
      <rPr>
        <b/>
        <i/>
        <sz val="10"/>
        <color theme="6" tint="-0.499984740745262"/>
        <rFont val="Arial"/>
        <family val="2"/>
      </rPr>
      <t>"User Defined Factors" Tab</t>
    </r>
    <r>
      <rPr>
        <i/>
        <sz val="10"/>
        <color theme="6" tint="-0.499984740745262"/>
        <rFont val="Arial"/>
        <family val="2"/>
      </rPr>
      <t xml:space="preserve">: </t>
    </r>
    <r>
      <rPr>
        <sz val="10"/>
        <rFont val="Arial"/>
        <family val="2"/>
      </rPr>
      <t>If the remedy requires materials or off-site activities not provided in SEFA, you may add the materials or activities to SEFA.  You should research and document the information, then enter it in the “User Defined Factors” tab.  See the “User Defined Factors” tab for specifics on adding user defined factors.</t>
    </r>
  </si>
  <si>
    <r>
      <rPr>
        <b/>
        <i/>
        <sz val="10"/>
        <color theme="6" tint="-0.499984740745262"/>
        <rFont val="Arial"/>
        <family val="2"/>
      </rPr>
      <t>"Grid Electricity" Tab</t>
    </r>
    <r>
      <rPr>
        <i/>
        <sz val="10"/>
        <color theme="6" tint="-0.499984740745262"/>
        <rFont val="Arial"/>
        <family val="2"/>
      </rPr>
      <t xml:space="preserve">: </t>
    </r>
    <r>
      <rPr>
        <sz val="10"/>
        <rFont val="Arial"/>
        <family val="2"/>
      </rPr>
      <t>If grid electricity is used at the site, the local fuel mix for the grid electricity should be added in this tab.  See the instructions on the “Grid Electricity” tab for specifics on data entry for local fuel mix.</t>
    </r>
  </si>
  <si>
    <r>
      <rPr>
        <b/>
        <i/>
        <sz val="10"/>
        <color theme="6" tint="-0.499984740745262"/>
        <rFont val="Arial"/>
        <family val="2"/>
      </rPr>
      <t>"Input Summary" Tab</t>
    </r>
    <r>
      <rPr>
        <i/>
        <sz val="10"/>
        <color theme="6" tint="-0.499984740745262"/>
        <rFont val="Arial"/>
        <family val="2"/>
      </rPr>
      <t xml:space="preserve">: </t>
    </r>
    <r>
      <rPr>
        <sz val="10"/>
        <rFont val="Arial"/>
        <family val="2"/>
      </rPr>
      <t>The column headings in the “Input Summary” tab (Row 6) must be updated by the user to reflect the tab names in the following situations: (a) if additional “Input” tabs are set up by the user (regardless of whether they are renamed); and (b) if “Input” tab names are customized or changed.</t>
    </r>
  </si>
  <si>
    <t>(b) Similar to the notes above, if you are using biodiesel, diesel, gasoline, or natural gas for on-site equipment that has a footprint for combustion that is different from the default footprint in SEFA, you may establish user-defined conversion factors for combustion of that fuel.  (See the “Default Conversions” tab in the “Calculations” workbook for the default conversion factors in SEFA.)  Note that any user-defined factors established for a fuel type will apply to all forms of on-site equipment using that fuel type (i.e., all types of equipment selected in Column A in the “On-Site Equipment Use and Transportation” table in the “Input Template” tab).  For instructions on establishing user-defined factors for biodiesel, diesel, gasoline, or natural gas used in on-site equipment, please see the “User Defined Factors” tab in the “Input” workbook.</t>
  </si>
  <si>
    <t>(a) If you are using biodiesel, diesel, gasoline, or natural gas for transportation that has a footprint for combustion that is different from the default footprint in SEFA, you may establish user-defined conversion factors for combustion of that fuel.  (See the “Default Conversions” tab in the “Calculations” workbook for the default conversion factors in SEFA.)  Note that any user-defined factors established for a fuel type will apply to all forms of transportation using that fuel type (i.e., all types of transportation selected in the "Personnel", "On-site Equipment Use", "Materials Use", and "Waste Disposal" tables in the "Input Template" tab).  For instructions on establishing user-defined factors for biodiesel, diesel, gasoline, or natural gas used in transportation, please see the “User Defined Factors” tab in the “Input” workbook.</t>
  </si>
  <si>
    <t>SEFA provides additional flexibility for modeling combustion of biodiesel, diesel, gasoline, and natural gas used for on-site equipment and for transportation.</t>
  </si>
  <si>
    <t>(iii) Truck transport using mpg often results in an empty return trip.  If this is the case at your site, you should model the empty return trip.  As an estimation, you may assume the same fuel usage rate (mpg) for the empty return trip, or if you know the fuel usage rate (mpg) is different, you may override it.</t>
  </si>
  <si>
    <t>(a) Truck (mpg): Miles per Gallon is a unit of measure best used to describe the efficiency of a vehicle hauling a single load to a single location, and is determined by how many miles a vehicle can travel on one gallon of fuel.  Additional notes:</t>
  </si>
  <si>
    <t>(c) The third option, "Reused”, describes a material that is taken from another location and used essentially unchanged.  Assuming that there is no energy or air emissions footprint associated with the "Reused" material, or that the footprint does not accrue to the site, you would select "No" in Column H.  In this case no energy and air emissions footprint will be calculated for the material.  If you find that the “Reused” material does have an energy and air emissions footprint, you may follow the approaches noted above for “Recycled” materials.</t>
  </si>
  <si>
    <t>(i) You may select "No" in Column H if the item is assumed to have an insignificant energy and air emissions footprint or if the footprint does not accrue to the site.  In this case no energy and air emissions footprint will be calculated for the material.</t>
  </si>
  <si>
    <t>(a) The first option, "Virgin”, describes a material that is being used for the first time, that has come directly from the manufacturer or supplier, and is made from raw materials, not recycled or repurposed sources.  For this option, you must select "Yes" in Column H in order for the energy and air emissions footprint for the material to be calculated in SEFA.</t>
  </si>
  <si>
    <t>15) Discussion for Selection of Virgin vs Recycled vs Reused Materials</t>
  </si>
  <si>
    <t>Use this table to model renewable energy use from on-site activities and transportation that have not been covered in any of the other tables in the “Input Template” tab.  The “Other Voluntary Renewable Energy Use” table provides flexibility to include in the footprint analysis unique situations at your cleanup site.  In all cases, you must perform your own estimates or calculations for the quantities to be entered in Column F.</t>
  </si>
  <si>
    <t>(i) The greenhouse gas calculations in SEFA account for the avoidance of emissions of landfill methane, in addition to the emissions of CO2e as a result of the combustion process.</t>
  </si>
  <si>
    <t>Use this table to model energy use and air emissions from on-site activities and transportation that have not been covered in any of the other tables in the “Input Template” tab.  The “Other Energy Use and Air Emissions” table provides flexibility to include in the footprint analysis unique situations at your cleanup site.  In all cases, you must perform your own estimates or calculations for the quantities to be entered in Column F of this table.</t>
  </si>
  <si>
    <t>(c) For all other selections in the drop-down menu (besides “Public Water”), SEFA assumes no energy or air emissions footprint.  If there are any significant activities related to extracting, reclaiming, collecting, or diverting the other types of water, you may want to model those activities separately in other sections of the “Input Template” tab.</t>
  </si>
  <si>
    <t>(a) To model water used on-site, select the source of water from the drop-down menu in Column A, and enter the quantity of water in Column D.  Space for narrative remarks is provided in Columns F, J, N, and S for the convenience of the user.  Entering information in Columns F, J, N, and S is optional.  Additional notes:</t>
  </si>
  <si>
    <t>Use this table to model the types and quantity of water used on-site by the remedy.</t>
  </si>
  <si>
    <t>(a) Calculations for the energy and air emissions footprint from management of waste generated on-site are based on the values or drop-down selections for Waste Destination and Quantity in Columns A and D.  (The footprint calculations are made automatically in the “Component” tabs in the “Calculations” workbook.)  You must make entries or selections in both Columns A and D, in order for the footprint calculations to be made.  Additional notes:</t>
  </si>
  <si>
    <t xml:space="preserve">Use this table to model types and amounts of wastes generated by the remedy and to model the transport of wastes from the site.  </t>
  </si>
  <si>
    <t>(i) Double the Number of Trips in Column K.</t>
  </si>
  <si>
    <t>Materials Transportation</t>
  </si>
  <si>
    <t xml:space="preserve">(c) For materials identified as “Reused” or “Recycled”, you will typically choose “No” in the drop-down menu in Column H to indicate that no energy or air emissions footprint accrues to the cleanup site from production of the material.  If you would like to account for the footprint from a “Reused” or “Recycled” material, you may add it as a “User-defined Material” to the drop-down list in Column A.  For instructions, please see the “User Defined Materials” tab in the “Input” workbook.  </t>
  </si>
  <si>
    <t>(b) Summation of total tons of refined and unrefined materials, and calculation of % materials from recycled or reused sources, are based on values or drop-down selections made in Columns D, F, and G.  (The total tons and %’s are presented in Rows 7 - 10 of the “Summary” tab of the “Main” workbook.)  You must make entries or selections in all three Columns (D, F, and G) in order for the materials to be included in the totals tons and %’s.  Additional notes:</t>
  </si>
  <si>
    <t>(i) There may be instances in which you do not want the energy and air emissions footprint calculations to be performed on the material, in which case you should choose “No” in Column H.  For example, the material may be from a “Reused” source, with no energy or air emissions footprint accruing to the cleanup site.</t>
  </si>
  <si>
    <t>(a) Calculations for the energy and air emissions footprint from off-site manufacturing of materials are based on the values or drop-down selections for Material Type and Quantity in Columns A and D.  (The footprint calculations are made automatically in the “Component” tabs in the “Calculations” workbook.)  You must make entries or selections in both Columns A and D, and you must select “Yes” in the drop-down menu in Column H, in order for the footprint calculations to be made.  Additional notes:</t>
  </si>
  <si>
    <t>Materials Use</t>
  </si>
  <si>
    <t>(a) The greenhouse gas calculations in SEFA account for the avoidance of emissions of landfill methane, in addition to the emissions of CO2e as a result of the combustion process.</t>
  </si>
  <si>
    <t>(e) The following conversion is used for calculating Natural Gas Used in Column R: 1 ccf = 103,000 Btu.</t>
  </si>
  <si>
    <t>(c) The Efficiency (Column D) for a piece of electrical equipment is a measure of how well the equipment performs relative to its designed capacity.  The lower the efficiency, the more electricity is required by the equipment to complete the task.  For efficiency, use either (1) the percent that gets you closest to the expected Electrical Rating or (2) a value of 75% to represent a motor that is running fairly efficiently.</t>
  </si>
  <si>
    <t>Use this table to model electricity usage on-site, whether the electricity is supplied through the grid, or generated on-site from renewable resources.</t>
  </si>
  <si>
    <t>Equipment Transportation</t>
  </si>
  <si>
    <t>(b) Calculations for Fuel Used for On-Site Equipment in Column H are based on the values or drop-down selections for Horsepower, Load Factor, Equipment Fuel Type, and Equipment Hours Operated in Columns C, D, E, and G, respectively.  You must make entries or selections in all four columns (C, D, E, and G) in order for the Fuel Used for On-Site Equipment to be calculated.</t>
  </si>
  <si>
    <t>Equipment Use</t>
  </si>
  <si>
    <t>(g) The units for Default Fuel Usage Rate (Column I) are dependent on the transportation/fuel combination and are noted below.  When specifying the Fuel Usage Rate in Column J, the same units must be used.  The units are based on gallons for diesel/biodiesel/gasoline and ccf for natural gas.  Although some of the combinations are unlikely, the units would be:</t>
  </si>
  <si>
    <t>(d) If “Airplane” is selected as Mode of Transportation in Column E, you should select “Diesel” as the Fuel Type in Column G.  SEFA contains Default Fuel Usage Rates only for diesel when “Airplane” is selected, based on the assumption that diesel is similar to jet fuel.</t>
  </si>
  <si>
    <t>(c) You may override the Default Fuel Usage Rate.  If you have a specific Fuel Usage Rate for any transportation/fuel combination, you may enter it in Column J.  This will override the default value in Column I.  You may also use Column J to designate the Fuel Usage Rate when “NO DATA” appears in Column I.</t>
  </si>
  <si>
    <t>(b) You may select any combination for Mode of Transportation (Column E) and Fuel Type (Column G).  However, SEFA provides Default Fuel Usage Rates (Column I) for only the most common combinations.  For combinations for which SEFA does not provide a Default Fuel Usage Rate, the message “NO DATA” will appear in Column I.</t>
  </si>
  <si>
    <t>(a) Calculations for Fuel Used in Column K are based on the values or drop-down selections for Number of Roundtrips to Site, Roundtrip Distance to Site, Mode of Transportation, and Fuel Type in Columns C, D, E, and G, respectively.  You must make entries or selections in all four columns (C, D, E, and G) in order for the Fuel Used to be calculated.</t>
  </si>
  <si>
    <t>Detailed Notes and Explanations for "Input Template" Tab</t>
  </si>
  <si>
    <t>Instructions for "User Defined Factors" tab</t>
  </si>
  <si>
    <t>Use this worksheet for user-defined footprint conversion factors for materials and activities that are unique to your site, and are not already provided in the “Input Template” tab of the “Input” workbook.  Unique conversion factors can be established for the following:</t>
  </si>
  <si>
    <t>(b) Manufacturing or processing of materials</t>
  </si>
  <si>
    <t>(c) Management and recycling of wastes</t>
  </si>
  <si>
    <t>How to Set Up User Defined Factors on This Worksheet</t>
  </si>
  <si>
    <t>This section describes the general approach for setting up user defined factors.  See the next four sections for specific examples for each type of user-defined factor.</t>
  </si>
  <si>
    <r>
      <rPr>
        <b/>
        <sz val="10"/>
        <color theme="6" tint="-0.499984740745262"/>
        <rFont val="Arial"/>
        <family val="2"/>
      </rPr>
      <t>(2)  Columns B and C</t>
    </r>
    <r>
      <rPr>
        <sz val="10"/>
        <color theme="6" tint="-0.499984740745262"/>
        <rFont val="Arial"/>
        <family val="2"/>
      </rPr>
      <t xml:space="preserve">: </t>
    </r>
    <r>
      <rPr>
        <sz val="10"/>
        <rFont val="Arial"/>
        <family val="2"/>
      </rPr>
      <t>Entries in Columns B and C depend on the item being represented.</t>
    </r>
  </si>
  <si>
    <t>(i) Conversion to tons is necessary for summing of diverse materials or wastes (performed automatically in the SEFA workbooks) to arrive at the total materials usage or waste generation reported in the "Summary" tab in the "Main" workbook.</t>
  </si>
  <si>
    <t>(ii) Conversion to tons is also necessary for calculations of fuel required for transport of materials or waste (performed automatically in the SEFA workbooks), when transport using units of “Gallons per Ton-Mile” is selected in the “Input Template” tab.</t>
  </si>
  <si>
    <r>
      <rPr>
        <b/>
        <sz val="10"/>
        <color theme="6" tint="-0.499984740745262"/>
        <rFont val="Arial"/>
        <family val="2"/>
      </rPr>
      <t>(3)  Column D</t>
    </r>
    <r>
      <rPr>
        <sz val="10"/>
        <color theme="6" tint="-0.499984740745262"/>
        <rFont val="Arial"/>
        <family val="2"/>
      </rPr>
      <t xml:space="preserve">: </t>
    </r>
    <r>
      <rPr>
        <sz val="10"/>
        <rFont val="Arial"/>
        <family val="2"/>
      </rPr>
      <t>Entries in Column D depend on the item being represented.</t>
    </r>
  </si>
  <si>
    <t>(2) As another example, instead of using “Other treatment chemicals &amp; materials” from the drop-down menu, you may want to add to the drop-down menu a unique treatment chemical used at your site.  To do this, you would enter the name of the treatment chemical in Column A above.  Column B might be “gallons” (of treatment chemical) and Column C might be 0.004 tons per gallons (depending on the density of the treatment chemical).  The footprint conversion factors in Columns D - N would represent the energy required, and the GHG, NOx, SOx, PM, and HAPs emissions to air, associated with the production of the treatment chemical.  The entry in Column D would be in units of MMBtu/gallon (that is, MMBtu energy required per gallon treatment chemical produced), the entry in Column F would be in units of lbs CO2e/gallon (that is, lbs CO2e emissions per gallon treatment chemical produced), Column H would be lbs NOx/gallon, etc.</t>
  </si>
  <si>
    <t>(2) As another example, instead of using “Non-hazardous waste landfill” from the drop-down menu, you may want to add to the drop-down menu a local landfill that uses energy-saving processes and equipment.  To do this, you would enter the name of the landfill in Column A above.  Column B might be “tons” (of waste) and Column C would be “1”, the conversion factor from tons to tons.  The footprint conversion factors in Columns D - N would represent the energy required, and the GHG, NOx, SOx, PM, and HAPs emissions to air, associated with the managing the waste at the landfill.  The entry in Column D would be in units of MMBtu/ton (that is, MMBtu energy required per ton of waste managed), the entry in Column F would be in units of lbs CO2e/ton (that is, lbs CO2e emissions per ton of waste managed), Column H would be lbs NOx/ton, etc.</t>
  </si>
  <si>
    <t xml:space="preserve">(3) In both the examples above, the footprint conversion factors in Columns D - N would represent the energy required, and the GHG, NOx, SOx, PM, and HAPs emissions to air, associated with the combustion of the fuel (either fuel oil or bio-based ethanol).  The entry in Column D would be in units of MMBtu/gallon (that is, MMBtu energy per gallon of fuel oil or ethanol combusted), Column F would be in units of lbs CO2e/gallon (that is, lbs CO2e emissions per gallon of fuel oil or ethanol combusted), Column H would be lbs NOx/gallon, etc.  </t>
  </si>
  <si>
    <t>You may want to add to the footprint analysis unique conversion factors for combustion of fuels already found in SEFA (such as gasoline, diesel, or biodiesel).  This may be of interest if the default conversion factors in SEFA do not accurately represent emissions from equipment or vehicles in use at your site.  Default conversion factors  are found in the "Default Conversions" tab in the "Calculations" workbook.  To include in the analysis unique footprint conversion factors for combustion of fuels (either conventional or renewable) for transportation and on-site equipment, you may add the name of the fuel name and its footprint conversion factors in Rows 7 - 14 above.</t>
  </si>
  <si>
    <t>(2) As another example, your site may use ultra-low sulfur diesel fuel for transport of materials and waste.  To model the emissions from this transportation fuel, use Row 12 in the table above.  Enter the name of the fuel combustion situation in Column A, the units in Column B (for example, gallons of diesel), and the footprint conversion factors in Columns F - N.  Once you enter unique conversion factors for this situation in the table above, the factors will override the default conversion factors in SEFA, and SEFA will automatically apply the new factors to all transportation diesel usage.  In this example, the unique footprint conversion factors will be applied to all diesel transportation (personnel, equipment, materials, and waste) that you enter into the “Input Template” tab.</t>
  </si>
  <si>
    <t>Instructions for "Grid Electricity" tab</t>
  </si>
  <si>
    <t>Overview of Grid Electricity</t>
  </si>
  <si>
    <r>
      <rPr>
        <b/>
        <sz val="10"/>
        <color theme="6" tint="-0.499984740745262"/>
        <rFont val="Arial"/>
        <family val="2"/>
      </rPr>
      <t xml:space="preserve">(1)  </t>
    </r>
    <r>
      <rPr>
        <sz val="10"/>
        <rFont val="Arial"/>
        <family val="2"/>
      </rPr>
      <t>On the "Grid Electricity" tab of the "Input" workbook, you may either (a) enter one fuel mix and specify that it applies to all six of the Remedy Components, or (b) enter unique fuel mixes for each Remedy Component.</t>
    </r>
  </si>
  <si>
    <t xml:space="preserve">You may want to add to the footprint analysis a material not found in SEFA.  You should first check the drop-down menu in Column A of the “Materials Use and Transportation” table on Row 65 of the “Input Template” tab in the “Input” workbook.  If the material is not already in the drop-down menu, you may add the material name and its footprint conversion factors in Rows 16 - 35 in the "User Defined Factors" tab (above).  You may also want to add a user-defined material to provide unique (more accurate) footprint conversion factors for a material already included in the drop-down menu.  </t>
  </si>
  <si>
    <t>(ii) Aside from reused or recycled wastes, if you do not find the off-site waste management destination or process that you are looking for in the drop-down menu in Column A, you may add a “User-defined” item to the drop-down menu.  For instructions, please see the “User Defined Factors” tab in the “Input” workbook.</t>
  </si>
  <si>
    <t>(i) The distinction between hazardous and non-hazardous waste (in the drop-down menu in Column A) may depend on state and local regulations for the location of the site and waste destination.  You should make the selection in Column A that best fits the waste at hand.</t>
  </si>
  <si>
    <r>
      <rPr>
        <b/>
        <i/>
        <sz val="10"/>
        <color theme="6" tint="-0.499984740745262"/>
        <rFont val="Arial"/>
        <family val="2"/>
      </rPr>
      <t>"Input" Tabs</t>
    </r>
    <r>
      <rPr>
        <i/>
        <sz val="10"/>
        <color theme="6" tint="-0.499984740745262"/>
        <rFont val="Arial"/>
        <family val="2"/>
      </rPr>
      <t xml:space="preserve">: </t>
    </r>
    <r>
      <rPr>
        <sz val="10"/>
        <rFont val="Arial"/>
        <family val="2"/>
      </rPr>
      <t>The user enters information on transportation, materials, equipment, waste, and energy associated with the site and remedy on the "Input" tabs.  The user may establish up to 14 "Input" tabs to reflect the site and remedy, and assigns each "Input" tab to one of the 6 Remedy Components.  See the section “Adding and Aligning “Input” Tabs” below for information on setting up “Input” tabs, renaming the tabs, and assigning them to Remedy Components.  See the “Detailed Notes and Explanations” tab for specifics on entering remedy data into the “Input” tabs.</t>
    </r>
  </si>
  <si>
    <r>
      <t>Aligning the "Input" Tabs with the Remedy Components:</t>
    </r>
    <r>
      <rPr>
        <sz val="10"/>
        <rFont val="Arial"/>
        <family val="2"/>
      </rPr>
      <t xml:space="preserve"> Each “Input” tab can be considered a subcategory under one of the Remedy Components designated in the “General” tab of the “Main” workbook.  In order for each “Input” tab to be included in the footprint analysis, the tab must be aligned with a Remedy Component.  To align an “Input” tab, use the drop-down menu in Row 4 of the "Input" tab and choose the Remedy Component that the “Input” tab pertains to.  You may select one of six Remedy Components or you may turn the selection "off" so that the tab is not aligned with a Remedy Component.  The Remedy Component number will appear in Row 4 on the "Input Summary" tab.  (If "off" is chosen, "0" will appear in Row 4.)  An example of aligning “Input” tabs to the Remedy Components is illustrated in Item (7) below.</t>
    </r>
  </si>
  <si>
    <t>(e) You may delete an “Input” tab at any time by right-clicking on the tab and choosing “delete”.  If an “Input” tab is deleted, you should also remove the name of that tab from the column headings in the “Input Summary” tab.</t>
  </si>
  <si>
    <t>If you create a new “Input” tab or rename an existing “Input” tab, you must add the new name to the column headings in Row 6 of the “Input Summary” tab.  This allows the “Input Summary” tab to collect data from the various “Input” tabs.  For example, if you rename the “Input Template” tab, so that it is now called “Site Investigation”, you must also rename the corresponding column heading in Row 6 of the “Input Summary” tab.  In this example, Cell C6 would be renamed “Site Investigation”.  Additional notes:</t>
  </si>
  <si>
    <t>The “Input Template” tab contains a variety of data entry tables for flexibility to accommodate a wide range of remedy activities and configurations.  You can by-pass any of the data entry tables, and use only those tables that are relevant to the site and remedy at hand.  (See EPA's Methodology [www.cluin.org/greenremediation/methodology] for a protocol for screening out inputs that would make minimal contributions to the footprint totals.)  Much of the data entry in the “Input Template” tab is self-explanatory.  However, please see the “Detailed Notes and Explanations” tab in the "Input" workbook for specifics on the data entry tables in the “Input Template” tab.</t>
  </si>
  <si>
    <t>The diagram below illustrates the alignment of “Input” tabs to Remedy Components for a hypothetical site and remedy.  In this example, the user renames Remedy Components 1 - 4, according to the four main aspects of the remedy, but does not need Remedy Components 5 and 6.  The user makes copies of the blank “Input Template” tab as needed, names them, and links them to the Remedy Components.  The user keeps the original blank copy of the “Input Template” tab in reserve in the event that additional copies are needed.  The notes below the diagram provide additional explanations for creating, naming, and aligning the “Input” tabs in this example.</t>
  </si>
  <si>
    <t>An identifier for the SEFA worksheets appears in Row 1.  The site and remedy names appear automatically in Row 2, based on information entered in the “General” tab of the “Main” workbook.  The name of the “Input” tab also appears automatically in Row 2, based on the name typed by the user on the tab at the bottom of the excel window.  These headings are repeated at the top of subsequent pages of the “Input” tab.</t>
  </si>
  <si>
    <t>Space is made available in Row 7 for narrative notes for General Scope, Examples of Items Eliminated through Screening Process, and Other Notes and References.  In addition, spaces are left open in the following sections of the “Input Template” tab for notes, references, or supporting calculations:</t>
  </si>
  <si>
    <t>(d) The Load Factor (Column D) for a piece of equipment is the ratio of the load that the motor actually draws when it is operating to the maximum load that it could draw.  For example, for a motor of 100 HP that drives a constant 75 HP load whenever it is on, the load factor will be 75/100, or 75%.  To represent a motor that is running fairly efficiently, it is recommended that a load factor of 75% be used absent other information.</t>
  </si>
  <si>
    <t>(b) The Load Factor (Column C) for a piece of electrical equipment is the ratio of the load that the motor actually draws when it is operating to the maximum load that it could draw.  For example, for a motor of 100 HP that drives a constant 75 HP load whenever it is on, the load factor will be 75/100, or 75%.  To represent a motor that is running fairly efficiently, it is recommended that a load factor of 75% be used absent other information.</t>
  </si>
  <si>
    <t>(iv) If a material is obtained partly from virgin sources and partly from reused or recycled sources, you may enter the appropriate portions of the material on two separate rows in the "Materials Use and Transportation" table, and identify one portion as “Virgin” and the other portion as “Reused” or “Recycled”.  For example, if your site uses 100,000 lbs of cement composed of 8% reused material (with no footprint accruing to the site from the reused portion) you may enter the information in Columns A, D, F, G, and H as follows.</t>
  </si>
  <si>
    <t>(b) SEFA provides default footprint conversion factors for energy and air emissions only for “Public Water” in the drop-down menu in Column A.  These footprint conversion factors include the typical footprint from transport of the public water through municipal lines.</t>
  </si>
  <si>
    <t>(ii) SEFA does not account for non-methane gases emitted from the landfill.  You can account for these emissions on other rows in the "Other Energy Use and Air Emissions" table.</t>
  </si>
  <si>
    <t>(iii) You may create a “User-defined Material” in the drop-down list in Column A for a material that has footprint conversion factors different from the default factors in SEFA.  (The default conversion factors in SEFA can be found on the "Default Conversions" tab in the "Calculations" workbook.  Instructions for creating a “User-defined Material" can be found on the “User Defined Materials” tab in the “Input” workbook.)  If you create a “User-defined Material” to represent a recycled material, you must select "Yes" in Column H in order for the energy and air emissions footprint for the material to be calculated using the user-defined conversion factors.</t>
  </si>
  <si>
    <t>(iii) The fuel usage rate for truck transport using gptm includes return trips of transport vehicles, based on average transport activities.  Therefore, you should not model empty return trips for this type of transport.</t>
  </si>
  <si>
    <t>Aluminum, Rolled Sheet</t>
  </si>
  <si>
    <t>Asphalt, mastic</t>
  </si>
  <si>
    <t>Asphalt, paving-grade</t>
  </si>
  <si>
    <t>Ethanol, Corn, 95%</t>
  </si>
  <si>
    <t>Ethanol, Corn, 99.7%</t>
  </si>
  <si>
    <t>Ethanol, Petroleum, 99.7%</t>
  </si>
  <si>
    <t>Gravel/Sand Mix, 65% Gravel</t>
  </si>
  <si>
    <t>Ready-mixed concrete, 20 MPa</t>
  </si>
  <si>
    <t>Round Gravel</t>
  </si>
  <si>
    <t>Sand</t>
  </si>
  <si>
    <t>Granular activated carbon, primary</t>
  </si>
  <si>
    <t>Granular activated carbon, regenerated</t>
  </si>
  <si>
    <t>Hydrogen Peroxide, 50% in H2O</t>
  </si>
  <si>
    <t>Iron (II) Sulfate</t>
  </si>
  <si>
    <t>Lime, Hydrated, Packed</t>
  </si>
  <si>
    <t>Phosphoric Acid, 70% in H2O</t>
  </si>
  <si>
    <t>Potassium Permanganate</t>
  </si>
  <si>
    <t xml:space="preserve">Sodium Hydroxide, 50% in H2O </t>
  </si>
  <si>
    <t>Stainless Steel</t>
  </si>
  <si>
    <t>ft3</t>
  </si>
  <si>
    <t>Other Treatment Chemicals &amp; Materials*</t>
  </si>
  <si>
    <t>User Defined Vehicle #1</t>
  </si>
  <si>
    <t>User Defined Vehicle #2</t>
  </si>
  <si>
    <t>User Defined Vehicle #3</t>
  </si>
  <si>
    <t>User Defined Vehicle #4</t>
  </si>
  <si>
    <t>User Defined Vehicle #5</t>
  </si>
  <si>
    <t>Light-Duty/Passenger Truck</t>
  </si>
  <si>
    <t>Gasoline &lt;25 hp</t>
  </si>
  <si>
    <t>Gasoline &gt;25 hp</t>
  </si>
  <si>
    <t>Liquified petroleum gas</t>
  </si>
  <si>
    <t>Compressed natural gas</t>
  </si>
  <si>
    <t>Truck single unit (gptm)</t>
  </si>
  <si>
    <t>Diesel use - Personnel Transport - car</t>
  </si>
  <si>
    <t>Diesel use - Personnel Transport - other vehicles</t>
  </si>
  <si>
    <t>Gasoline use - Personnel Transport - other vehicles</t>
  </si>
  <si>
    <t>Gasoline use - Personnel Transport - car</t>
  </si>
  <si>
    <t>Used for electricity?</t>
  </si>
  <si>
    <t>Mode of Transportation</t>
  </si>
  <si>
    <t>Combination Truck (gptm)</t>
  </si>
  <si>
    <t>Equipment weight (tons)</t>
  </si>
  <si>
    <t>User-defined water resource #2</t>
  </si>
  <si>
    <t>Type of Water Used</t>
  </si>
  <si>
    <t>Landfill gas flared on-site</t>
  </si>
  <si>
    <t>Diesel use - Personnel Transport - User Defined</t>
  </si>
  <si>
    <t>Diesel use - Personnel Transport - passenger truck</t>
  </si>
  <si>
    <t>Biodiesel use - Personnel Transport - User Defined</t>
  </si>
  <si>
    <t>Natural Gas use - Personnel Transport - User Defined</t>
  </si>
  <si>
    <t>On-site diesel use &lt;75 hp</t>
  </si>
  <si>
    <t>On-site diesel use 75&lt;hp&lt;750</t>
  </si>
  <si>
    <t>On-site diesel use &gt;750 hp</t>
  </si>
  <si>
    <t>On-site gasoline use &lt;25 hp</t>
  </si>
  <si>
    <t>On-site gasoline use &gt;25 hp</t>
  </si>
  <si>
    <t>User-defined emissions for liquified petroleum gas on-site equipment</t>
  </si>
  <si>
    <t>User-defined emissions for compressed natural gas on-site equipment</t>
  </si>
  <si>
    <t>Compressed natural gas produced</t>
  </si>
  <si>
    <t>Liquified petroleum gas produced</t>
  </si>
  <si>
    <t>On-site diesel use - Other</t>
  </si>
  <si>
    <t>On-site gasoline use - Other</t>
  </si>
  <si>
    <t>On-site compressed natural gas use</t>
  </si>
  <si>
    <t>On-site compressed natural gas use - Other</t>
  </si>
  <si>
    <t>On-site liquified petroleum gas use</t>
  </si>
  <si>
    <t>Biodiesel used on-site - Other</t>
  </si>
  <si>
    <t>Use Different Fuel Mixes</t>
  </si>
  <si>
    <t>Off-site Laboratory Analysis - Other</t>
  </si>
  <si>
    <t>Off-site Laboratory Analysis - Metals</t>
  </si>
  <si>
    <t>Off-site Laboratory Analysis - Mercury</t>
  </si>
  <si>
    <t>Off-site Laboratory Analysis - Inorganic Anions</t>
  </si>
  <si>
    <t>Off-site Laboratory Analysis - Alkalinity</t>
  </si>
  <si>
    <t>Off-site Laboratory Analysis - Perchlorate</t>
  </si>
  <si>
    <t>Off-site Laboratory Analysis - Nitrogen/Nitrate</t>
  </si>
  <si>
    <t>Off-site Laboratory Analysis - Sulfate</t>
  </si>
  <si>
    <t>Off-site Laboratory Analysis - PCBs</t>
  </si>
  <si>
    <t>Off-site Laboratory Analysis - VOCs</t>
  </si>
  <si>
    <t>Off-site Laboratory Analysis - SVOCs</t>
  </si>
  <si>
    <t>Equipment Fuel Type**</t>
  </si>
  <si>
    <t>NOx
(lbs NOx/unit)</t>
  </si>
  <si>
    <t>SOx
(lbs SOx/unit)</t>
  </si>
  <si>
    <t>PM
(lbs PM/unit)</t>
  </si>
  <si>
    <t>HAPs
(lbs HAPs/unit)</t>
  </si>
  <si>
    <t>Column headings in Row 6 must match the name of "Input" tabs in this workbook for Columns C - P in this table to be populated
("0" in Row 4 means "Input" tab is turned Off and will not be grouped to a Remedy Component (Columns Q - V) or used in subsequent calculations)</t>
  </si>
  <si>
    <t>On-site liquified petroleum gas use - Other</t>
  </si>
  <si>
    <t>Biodiesel use - Equipment Transport - User Defined</t>
  </si>
  <si>
    <t>Biodiesel use - Material Transport - User Defined</t>
  </si>
  <si>
    <t>Biodiesel use - Waste Transport - User Defined</t>
  </si>
  <si>
    <t>Diesel use - Equipment Transport - User Defined</t>
  </si>
  <si>
    <t>Diesel use - Material Transport -  User Defined</t>
  </si>
  <si>
    <t>Diesel use - Waste Transport - User Defined</t>
  </si>
  <si>
    <t>Gasoline use - Equipment Transport - User Defined</t>
  </si>
  <si>
    <t>sample</t>
  </si>
  <si>
    <t>Total Electricity Usage Based on Personnel Transportation</t>
  </si>
  <si>
    <t>User Defined Vehicles in Mode of Personnel Transportation</t>
  </si>
  <si>
    <t>Diesel less than 75 hp</t>
  </si>
  <si>
    <t>Diesel greater than 750 hp</t>
  </si>
  <si>
    <t>Diesel between 75 and 750 hp</t>
  </si>
  <si>
    <t>Comments</t>
  </si>
  <si>
    <t>Include Return Trip in Calculations?</t>
  </si>
  <si>
    <t>Hazardous waste incineration</t>
  </si>
  <si>
    <t xml:space="preserve">B20     </t>
  </si>
  <si>
    <t>(g) If you run out of space for entries in any of the tables in the "Input" tabs, you may create another "Input" tab to continue entries in the table. Be sure to align the new tab to the correct Remedy Component.</t>
  </si>
  <si>
    <t>The “Input Summary” tab displays a summary of 14 “Input” tabs (in Columns C - P) and 6 Remedy Components (in Columns Q - V).  The grand total is displayed in Column W.</t>
  </si>
  <si>
    <t>U.S. national average fuel mix from 2016 is noted in Column N, and is populated as the default fuel mix in Column B.
For use of this worksheet, please see instructions at the end of the worksheet.</t>
  </si>
  <si>
    <t>On the “Grid Electricity” tab, you can define the fuel mix (mix of energy resources that is used to generate grid electricity) for grid electricity used at your site.  SEFA uses this fuel mix to calculate the footprint from generation of the grid electricity.  By default, the fuel mix in the “Grid Electricity” tab is set to the U.S. national average from 2016.  You are strongly encouraged to change this to a regional or local fuel mix that is more representative of the grid electricity used by the remedy.  Specifying the fuel mix from the local provider will often be important for accuracy of the footprint calculations, as the fuel mix can vary substantially at the national, regional, and local levels.</t>
  </si>
  <si>
    <t>(d) The user is interested in tracking Groundwater Monitoring and Surface Water Monitoring separately, and so creates two copies of the “Input Template” tab, names the copies accordingly, and aligns them with the “Long-term Monitoring” remedy component.</t>
  </si>
  <si>
    <t>1) Headings (Rows 1 &amp; 2 on the "Input Template" tab)</t>
  </si>
  <si>
    <t>(c) All cells in Rows 178 - 212</t>
  </si>
  <si>
    <t xml:space="preserve">(d) All cells in Rows 213 – 430 (Columns G - W) below the main worksheet </t>
  </si>
  <si>
    <t>Remedy Component Subtotals</t>
  </si>
  <si>
    <t>Gasoline use - Personnel Transport - passenger truck</t>
  </si>
  <si>
    <t>Gasoline use - Personnel Transport - User Defined</t>
  </si>
  <si>
    <t xml:space="preserve">Transportation  </t>
  </si>
  <si>
    <r>
      <rPr>
        <b/>
        <sz val="10"/>
        <color theme="1"/>
        <rFont val="Times New Roman"/>
        <family val="1"/>
      </rPr>
      <t>Energy</t>
    </r>
    <r>
      <rPr>
        <b/>
        <sz val="9"/>
        <color theme="1"/>
        <rFont val="Times New Roman"/>
        <family val="1"/>
      </rPr>
      <t xml:space="preserve">
</t>
    </r>
    <r>
      <rPr>
        <b/>
        <sz val="8"/>
        <color theme="1"/>
        <rFont val="Times New Roman"/>
        <family val="1"/>
      </rPr>
      <t>(</t>
    </r>
    <r>
      <rPr>
        <b/>
        <sz val="9"/>
        <color theme="1"/>
        <rFont val="Times New Roman"/>
        <family val="1"/>
      </rPr>
      <t>MMBtu/MWh</t>
    </r>
    <r>
      <rPr>
        <b/>
        <sz val="8"/>
        <color theme="1"/>
        <rFont val="Times New Roman"/>
        <family val="1"/>
      </rPr>
      <t>)</t>
    </r>
  </si>
  <si>
    <t>Table 1. Mode of Transport. For Personnel</t>
  </si>
  <si>
    <t>Table 2. Fuel Type for Equip. Use</t>
  </si>
  <si>
    <t>Table 3. Equipment Type and Representative Horsepower</t>
  </si>
  <si>
    <t>Table 4. Materials</t>
  </si>
  <si>
    <t>Table 6. Waste  Facility</t>
  </si>
  <si>
    <t>Table 7. Water Source</t>
  </si>
  <si>
    <t>Table 8. Laboratory Analyses</t>
  </si>
  <si>
    <r>
      <t>Tables 1, 2, and 3 are provided to convert transportation and equipment use into fuel use.   Data is obtained from Climate Leaders documents, US Department of Energy</t>
    </r>
    <r>
      <rPr>
        <vertAlign val="superscript"/>
        <sz val="11"/>
        <color theme="1"/>
        <rFont val="Calibri"/>
        <family val="2"/>
        <scheme val="minor"/>
      </rPr>
      <t>1</t>
    </r>
    <r>
      <rPr>
        <sz val="11"/>
        <color theme="1"/>
        <rFont val="Calibri"/>
        <family val="2"/>
        <scheme val="minor"/>
      </rPr>
      <t>, and EPA's 2017 Life Cycle Inventory Report</t>
    </r>
    <r>
      <rPr>
        <vertAlign val="superscript"/>
        <sz val="11"/>
        <color theme="1"/>
        <rFont val="Calibri"/>
        <family val="2"/>
        <scheme val="minor"/>
      </rPr>
      <t>2</t>
    </r>
    <r>
      <rPr>
        <sz val="11"/>
        <color theme="1"/>
        <rFont val="Calibri"/>
        <family val="2"/>
        <scheme val="minor"/>
      </rPr>
      <t>, and is consistent with the February 2012 EPA footprint methodology.  Where fuel efficiencies are provided for biodiesel, B20, or natural gas, the following assumptions are made:
   - diesel has a higher heating value of 0.139 MMBtu per gallon   
   - biodiesel has a higher heating value of 0.127 MMBtu per gallon    
  - natural gas has a  higher heating value of 0.103 MMBtu per hundred cubic feet  
   - B20 is 20% biodiesel and 80% diesel
   - fuel efficiencies scale approximately with higher heating value (e.g., biodiesel fuel efficiency in miles per gallon = 0.127/0.139 x diesel fuel efficiency).</t>
    </r>
  </si>
  <si>
    <t>- Fuel usage for buses, airplanes, and trains are for passenger miles per gallon (pmpg). Airplane/jet fuel calculated as diesel for simplicity and due to similarities between kerosene and diesel.</t>
  </si>
  <si>
    <t>3) ENERGY STAR Market and Industry Scoping Report, Electric Vehicle Supply Equipment (EVSE), September 2013.  Accessed July 2018 from: https://www.energystar.gov/sites/default/files/asset/document/Electric_Vehicle_Scoping_Report.pdf</t>
  </si>
  <si>
    <r>
      <t>- Diesel airplane, bus, and train efficiencies from converting average CO2 emissions in Climate Leaders from Commuting, Business Travel and Product Transport to diesel usage assuming Climate Leaders value of 22.3 lbs of CO2 per gallon of diesel. Diesel and gasoline efficiencies for car and light-duty/passenger truck are from Table 20 of EPA's Life-Cycle Inventory Report</t>
    </r>
    <r>
      <rPr>
        <i/>
        <vertAlign val="superscript"/>
        <sz val="11"/>
        <color theme="1"/>
        <rFont val="Calibri"/>
        <family val="2"/>
        <scheme val="minor"/>
      </rPr>
      <t>2</t>
    </r>
    <r>
      <rPr>
        <i/>
        <sz val="11"/>
        <color theme="1"/>
        <rFont val="Calibri"/>
        <family val="2"/>
        <scheme val="minor"/>
      </rPr>
      <t>.                                                                                                                                                         - Gasoline mpg for heavy-duty truck is assumed to be 50% of a light-duty truck to represent a light-duty truck towing a trailer</t>
    </r>
  </si>
  <si>
    <t>Default 
One-Way Distance from Source to Site
(miles)*</t>
  </si>
  <si>
    <t>*Default miles are from manufacturer to the site, to be used in absence of site-specific information</t>
  </si>
  <si>
    <r>
      <t>- Airplane/jet fuel calculated as diesel for simplicity and due to similarities between kerosene and diesel
- Diesel fuel efficiencies for aircraft, barge, and truck (mpg) are obtained by from converting average CO2 emissions reported in Climate Leaders: Commuting, Business Travel and Product Transport (EPA430-R-08-006) to diesel usage  assuming Climate Leaders value of 22.3 lbs of CO2 per gallon of diesel. The source for fuel usage rate for combination truck, train, and truck single unit is Table 20 of EPA's Life-Cycle Inventory Report</t>
    </r>
    <r>
      <rPr>
        <i/>
        <vertAlign val="superscript"/>
        <sz val="11"/>
        <color theme="1"/>
        <rFont val="Calibri"/>
        <family val="2"/>
        <scheme val="minor"/>
      </rPr>
      <t>2</t>
    </r>
    <r>
      <rPr>
        <i/>
        <sz val="11"/>
        <color theme="1"/>
        <rFont val="Calibri"/>
        <family val="2"/>
        <scheme val="minor"/>
      </rPr>
      <t xml:space="preserve">.     </t>
    </r>
  </si>
  <si>
    <t>Portland cement, US average</t>
  </si>
  <si>
    <t>SEFA_main_(121718).xlsx</t>
  </si>
  <si>
    <t xml:space="preserve">(f) You can reposition an “Input” tab by left-clicking on the tab and dragging it to the right or left. This will not affect the alignments made between the "Input" tabs and the Remedy Components.  </t>
  </si>
  <si>
    <t>User-defined water resource #1</t>
  </si>
  <si>
    <t>mpg or gptm</t>
  </si>
  <si>
    <t>Footnotes:</t>
  </si>
  <si>
    <t xml:space="preserve">1) Fuel Economy web page, US Department of Energy, Office of Energy Efficiency and Renewable Energy.  Accessed May 2018 from: https://www.fueleconomy.gov/feg/PowerSearch.do?action=noform&amp;path=1&amp;year1=1984&amp;year2=2019&amp;vtype=Electric&amp;pageno=1&amp;sortBy=Comb&amp;tabView=0&amp;rowLimit=10. Results are based on averages of all electric vehicle models listed for 2011 - 2018.  Sample size for passenger cars = 140 models (individual models range from 2.5 to 5.4 kWh/mi).
</t>
  </si>
  <si>
    <t>2) Randall, P., Meyer, D., Ingwersen, W., Vineyard, D., Bergmann, M., Unger, S., and Gonzalez, M., 2016. Life Cycle Inventory (LCI) Data- Treatment Chemicals, Construction Materials, Transportation, On-site Equipment, and Other Processes for Use in Spreadsheets for Environmental Footprint Analysis (SEFA): Revised Addition. U.S. Environmental Protection Agency, Office of Research and Development, Cincinnati, OH. EPA/600/R-16/176a.</t>
  </si>
  <si>
    <r>
      <t>- Electric car efficiencies are from US Department of Energy</t>
    </r>
    <r>
      <rPr>
        <i/>
        <vertAlign val="superscript"/>
        <sz val="11"/>
        <color theme="1"/>
        <rFont val="Calibri"/>
        <family val="2"/>
        <scheme val="minor"/>
      </rPr>
      <t>1</t>
    </r>
    <r>
      <rPr>
        <i/>
        <sz val="11"/>
        <color theme="1"/>
        <rFont val="Calibri"/>
        <family val="2"/>
        <scheme val="minor"/>
      </rPr>
      <t xml:space="preserve"> and take into account an estimated 96% charger-battery system efficiency, per ENERGY STAR information</t>
    </r>
    <r>
      <rPr>
        <i/>
        <vertAlign val="superscript"/>
        <sz val="11"/>
        <color theme="1"/>
        <rFont val="Calibri"/>
        <family val="2"/>
        <scheme val="minor"/>
      </rPr>
      <t>3</t>
    </r>
    <r>
      <rPr>
        <i/>
        <sz val="11"/>
        <color theme="1"/>
        <rFont val="Calibri"/>
        <family val="2"/>
        <scheme val="minor"/>
      </rPr>
      <t>.</t>
    </r>
  </si>
  <si>
    <r>
      <t>-Brake Specific Fuel Consumption (BSFC) values are consistent with 7,000 Btu/HP-hr (as used by EPA AP-42, Compilation of Air Pollutant Emission Factors, Chapter 3) and fuel higher heating values of 0.127 MMBtu for biodiesel (per February 2012  EPA footprint methodology). Diesel, gasoline, liquified petroleum gas, and compressed natural gas values are are from Table 20 of EPA's Life-Cycle Inventory Report</t>
    </r>
    <r>
      <rPr>
        <i/>
        <vertAlign val="superscript"/>
        <sz val="11"/>
        <color theme="1"/>
        <rFont val="Calibri"/>
        <family val="2"/>
        <scheme val="minor"/>
      </rPr>
      <t>2</t>
    </r>
    <r>
      <rPr>
        <i/>
        <sz val="11"/>
        <color theme="1"/>
        <rFont val="Calibri"/>
        <family val="2"/>
        <scheme val="minor"/>
      </rPr>
      <t>. 'Based on correspodence with ORD (authors of the Life-Cycle Inventory Report), tthe value for "Gasoline &lt; 25 hp" was incorrect in Table 20 of the Report.  It should be 7.6 hp-hr/gal and not 0.0002 hp-hr/gal.  The entry for "Gasoline &lt; 25 hp" in the table above reflects this correction.</t>
    </r>
  </si>
  <si>
    <t>Table 5. Mode of Transport. For Equipment and Materials (Usage Rate)</t>
  </si>
  <si>
    <t>(e) If “Electricity” is selected as Fuel Type in Column G, Fuel Used (Column K) will be in units of kilowatt hours (kWh).  SEFA assumes that electricity for the vehicle is supplied on-site, so the result in Column K is transferred automatically to Cell G67 of the "On-Site Electricity Use" table.  For vehicles which obtain electricity from an off-site source, you may still include that energy usage in the tables beginning on Row 147 of the “Input Template” tab.  Please see below for instructions on the use of these tables.</t>
  </si>
  <si>
    <t>(h) When the Fuel Type (Column G) is biodiesel, B20, diesel, or gasoline, the units for Fuel Used (Column K) are gallons.  When the Fuel Type is natural gas, the units for Fuel Used are hundreds of cubic feet (ccf). When the Fuel Type is electricity, the units for Fuel Used are kilowatt hours (kWh).</t>
  </si>
  <si>
    <t>(i) If you do not find the mode of transportation you are looking for in the drop-down menu in Column E, you may add a “User-defined Vehicle" to the drop-down menu.  For instructions, please see the “User Defined Factors” tab in the “Input” workbook.</t>
  </si>
  <si>
    <t>(k) Open cells are provided in Rows 25 and 26 to allow additional flexibility for transportation/fuel combinations.  When using these rows, you must still select the Fuel Type from the drop-down menu in Column G, in order for the fuel usage to be summed in the SEFA worksheets.</t>
  </si>
  <si>
    <t>(j) If you are using a transportation fuel that is not provided in the drop-down menu in Column G, you may still include that fuel usage in the tables beginning on Row 147 of the “Input Template” tab.  Please see below for instructions on the use of that table.</t>
  </si>
  <si>
    <t>Use this table to model on-site equipment that is powered by diesel, biodiesel, gasoline, compressed natural gas, or liquified petroleum gas, and to model the transport of that equipment to and from the site.</t>
  </si>
  <si>
    <t>(a) For equipment or processes powered by electricity, use the “On-Site Electricity Use” table beginning on Row 51.  If you are using equipment or processes powered by a fuel that is not provided in the drop-down menu in Column E, or in the “On-Site Natural Gas Use” or “On-Site Electricity Use” tables, you may still include that fuel usage in the tables beginning on Row 147 of the “Input Template” tab.  Please see below for instructions on the use of these tables.</t>
  </si>
  <si>
    <t>Fuel usage rates for equipment transportation are miles per gallon (mpg) or gallons per ton-mile (gptm).  For selecting Mode of Transportation (Column M) and Transport Fuel Type (Column N), and for overriding the Default Fuel Usage Rate (Columns O and P) in the On-site Equipment Use and Transportation table, please see notes beginning on Row 109 below for Materials Transportation.</t>
  </si>
  <si>
    <t>(a) The use of equipment on-site may be modelled independently from transport of the equipment to the site.  For example, if a piece of equipment is used on-site, but transport of the equipment is not applicable (e.g., the equipment is permanently fixed to the site or transport is screened out as a minimal contributor), then fill in Columns A - G, but not Columns I - P.  Conversely, if a piece of equipment is being transported to the site, but once on-site is powered by fuel other than those provided in the drop-down menu in Column E, then you would fill in Columns I - P, but not Columns A - G.</t>
  </si>
  <si>
    <t>(b) If you do not find the mode of transportation you are looking for in the drop-down menu in Column M, you may add a “User-defined Vehicle" to the drop-down menu.  For instructions, please see the “User Defined Factors” tab in the “Input” workbook.</t>
  </si>
  <si>
    <t>(d) Open cells are provided in Rows 39 and 40 to provide additional flexibility for equipment/fuel and transportation/fuel combinations.  When using these rows, you must still select the Equipment Fuel Type and the Transport Fuel Type from the drop-down menus in Columns E and N, respectively, in order for the fuel usage to be summed in the SEFA worksheets.</t>
  </si>
  <si>
    <t>(c) If you are using equipment or transportation fuel that is not provided in the drop-down menus in Columns E or N, you may still include that fuel usage in the tables beginning on Row 147 of the “Input Template” tab.  Please see below for instructions on the use of these tables.</t>
  </si>
  <si>
    <t>6) On-Site Electricity Use (Row 51)</t>
  </si>
  <si>
    <t>(a) You may represent electricity demand in three ways: (1) based on the horsepower rating of equipment in Rows 53 - 56; (2) based on kW rating in Rows 57 - 60; and (3) based on total kWh used in Rows 61 - 64.  Please note that all cells shaded yellow must be filled in for each type of data entry selected.</t>
  </si>
  <si>
    <t>(d) Enter electricity generated on-site from renewable resources in Cell G66.  Enter only renewable electricity for which the facility retains the rights to the renewable energy (i.e., does not sell renewable energy certificates associated with the on-site electricity generation).  This renewable energy is subtracted from the total energy demand to the grid.  Note that if the amount of renewable energy generated on-site is greater than that used on-site, the total Grid Electricity Used in Cell G68 is negative.  This represents excess electricity that may be sold to other users or sent back into the grid.</t>
  </si>
  <si>
    <t>7) On-Site Natural Gas Use (Row 51)</t>
  </si>
  <si>
    <t>(a) If power rating is known, use Rows 53 and 54.</t>
  </si>
  <si>
    <t>(b) If heat load is known instead of power rating, use Rows 53 and 54, and enter power rating as 125% of heat load and choose 80% for efficiency.</t>
  </si>
  <si>
    <t>(c) If Energy Required is known, use Row 55.</t>
  </si>
  <si>
    <t>(d) If Natural Gas Used is known, use Row 56.</t>
  </si>
  <si>
    <t>8) Landfill Gas Combusted On-Site for Energy Use (Row 61)</t>
  </si>
  <si>
    <t>Use this table for combustion of landfill gas on-site.  For example, the landfill gas usage may be in turbines for electricity production, or may be for heating in buildings or treatment processes.  If the landfill gas is being flared, you should model this in the "Other Energy Use and Air Emissions” table on Row 147 of the “Input Template” tab.</t>
  </si>
  <si>
    <t>(b) SEFA does not account for non-methane gases emitted from the landfill.  You can account for these in the "Other Energy Use and Air Emissions" table beginning on Row 147 of the "Input Template" tab.</t>
  </si>
  <si>
    <t xml:space="preserve">(c) SEFA accounts for landfill gas combustion for beneficial purposes as "On-site renewable energy use or generation" in the "Summary" tab in the "Main" workbook.  However, some entities do not support the claim of landfill gas as a renewable resource.  In this case, you may want to use the "Other Energy Use and Air Emissions” table on Row 147 of the “Input Template” tab to adjust the totals for renewable energy in the "Summary" tab.  </t>
  </si>
  <si>
    <t xml:space="preserve">(d) When landfill gas is used for electricity production, you may decide to characterize the electricity production to be from a “renewable resource”.  If you characterize the electricity as “renewable”, and you retain the renewable energy rights, you should enter the amount of electricity generated in Cell G59 of the “On-Site Electricity Use” table in the "Input Template" tab.  You should also use the "Other Energy Use and Air Emissions” table on Row 147 of the “Input Template” tab to avoid double counting for the renewable energy.  </t>
  </si>
  <si>
    <t>9) Materials Use and Transportation (Row 72)</t>
  </si>
  <si>
    <t xml:space="preserve">(iv) If you are using a material in an aqueous solution, the suggested approach in order to be consistent with EPA's Footprint Methodology (www.cluin.org/greenremediation/methodology) is to first enter the dry weight of the material without transportation and selecting "Yes" for footprint calculation and then enter the material in solution in a different line for transportation and selecting "No" for footprint calculation.  </t>
  </si>
  <si>
    <t>(a) Calculations for Fuel Used in Column R are based on the values or drop-down selections for Default One-way Distance, Number of One-way Trips, Mode of Transportation, and Fuel Type in Columns I, K, N, and O, respectively.  You must make entries or selections in three of the columns (K, N, and O) in order for the Fuel Used to be calculated.  You may override the Default One-way Distance by entering a site-specific One-way Distance in Column J.  You may use the Yes/No drop-down menu in Column L to have SEFA automatically include an empty return trip in the fuel calculations.  This function simply doubles the total distance transported in Column M, and uses the same one-way distance, number of one-way trips, mode of transportation, transport fuel type, and fuel usage rate (entered in Columns I, J, K, N, O, P, and Q) for the empty return trip as for loaded trip.</t>
  </si>
  <si>
    <t>(b) You may select any combination for Mode of Transportation (Column N) and Fuel Type (Column O).  However, SEFA provides Default Fuel Usage Rates (Column P) for only the most common combinations.  For combinations for which SEFA does not provide a Default Fuel Usage Rate, the message “NO DATA” will appear in Column P.</t>
  </si>
  <si>
    <t>(c) You may override the Default Fuel Usage Rate.  If you have a specific Fuel Usage Rate for any transportation/fuel combination, you may enter it in Column Q.  This will override the default value in Column P.  You may also use Column Q to designate the Fuel Usage Rate when “NO DATA” appears in Column P.  When overriding or designating the Fuel Usage Rate in Column Q, you must use the same units as noted in the drop-down menu in Column N.</t>
  </si>
  <si>
    <t>(d) If “Aircraft” is selected as Mode of Transportation in Column N, you should select “Diesel” as the Fuel Type in Column O.  SEFA contains Default Fuel Usage Rates only for diesel when “Aircraft” is selected, based on the assumption that diesel is similar to jet fuel.</t>
  </si>
  <si>
    <t>(e) The option for electricity is not provided in Column O for materials transport.  If electricity is used for transport, and the electricity is provided on-site, you may enter it separately in the "On-Site Electricity Use" table (Row 51).  For vehicles which obtain electricity from an off-site source, you may still include that energy usage in the tables beginning on Row 147 of the “Input Template” tab.  Please see below for instructions on the use of these tables.</t>
  </si>
  <si>
    <t>(f) The units for Default Fuel Usage Rate in Column P depend on the Mode of Transportation selected in Column N.  If “Truck (mpg)” is selected, the units are Miles per Gallon (mpg).  For all other selections (Combination Truck, Truck Single Unit, Aircraft, Barge, and Train), the units are Gallons per Ton-Mile (gptm).  For background information on the selection of “Truck (mpg)” vs “Combination Truck (gptm)" and "Truck Single Unit (gptm)”, see the discussion in Section 16 below.</t>
  </si>
  <si>
    <t>(g) When “Truck (mpg)” has been selected in Column N, you may want to account for empty return trips.  When Combination Truck, Truck Single Unit, Aircraft, Barge, or Train have been selected you generally should not model an empty return trip.  (For background information on modelling empty return trips, see the discussion in Section 16 below.)  In order to account for empty return trips, you may use the Yes/No drop-down menu in Column L.  If you prefer not to use the drop-down menu in Column L, or would like to modify the empty return trip (as compared to the loaded trip), you may want to use one of the following options:</t>
  </si>
  <si>
    <t>(ii) Enter the empty return trips in a separate Row,  leaving Columns D, F, G, and H blank.  (You may select the material from the drop-down menu in Column A, if desired.)  Fill in Columns K, N, and O, and be sure that there is an entry in either Column I or J (or both).  Use the override function in Column Q if desired.</t>
  </si>
  <si>
    <t>(a) The use of materials on-site may be modelled independently from transport of the materials to the site.  For example, if a material is used on-site, but transport of the material is not applicable (e.g., the material is transported with the same vehicle used for personnel transportation or transport is screened out as a minimal contributor), then fill in Columns A - H, but not Columns I - R.  Conversely, if a material is being transported to the site, but the material is not to be included in any aspect of the footprint (e.g., total tons, % recycled, energy and air emissions footprints), then fill in Columns I - R, but not Columns A - H.</t>
  </si>
  <si>
    <t>(b) If you do not find the mode of transportation you are looking for in the drop-down menu in Column N, you may add a “User-defined Vehicle" to the drop-down menu.  For instructions, please see the “User Defined Factors” tab in the “Input” workbook.</t>
  </si>
  <si>
    <t>(d) Open cells are provided in Rows 90 and 91, to allow additional flexibility for transportation/fuel combinations.  When using these rows, you must still select the Fuel Type from the drop-down menu in Column O, in order for the fuel usage to be summed in the SEFA worksheets.</t>
  </si>
  <si>
    <t>(c) If you are using a transportation fuel that is not provided in the drop-down menu in Column O, you may still include that fuel usage in the tables beginning on Row 147 of the “Input Template” tab.  Please see below for instructions on the use of these tables.</t>
  </si>
  <si>
    <t>10) Waste Disposal and Transportation (Row 103)</t>
  </si>
  <si>
    <t>(iv) In cases where waste, such as sludge, has been dewatered prior to transportation and disposal, enter the dry weight of the waste in Column D. If the waste has not been dewatered prior to transportation and disposal, then enter the wet weight in Column D.  This ensures that the SEFA calculations will be based on the waste as transported and managed off-site.</t>
  </si>
  <si>
    <t>(b) Summation of total tons of hazardous and non-hazardous wastes, and calculation of % of waste that is recycled or reused, are based values or drop-down selections made in Columns A and D.  (The total tons and %’s are presented in Rows 11 - 14 of the “Summary” tab of the “Main” workbook.)  You must make entries or selections in both Columns (A and D) in order for the materials to be included in the totals tons and %’s.  Additional notes:</t>
  </si>
  <si>
    <t>(a) Calculations for Fuel Used in Column O are based on the values or drop-down selections for Default One-way Distance, Number of One-way Trips, Mode of Transportation, and Fuel Type in Columns F, H, K, and L, respectively.  You must make entries or selections in three of the columns (H, K, and L) in order for the Fuel Used to be calculated.  You may override the Default One-way Distance by entering a site-specific One-way Distance in Column G.  You may use the Yes/No drop-down menu in Column I to have SEFA automatically include an empty return trip in the fuel calculations.  This function simply doubles the total distance transported in Column J, and uses the same one-way distance, number of one-way trips, mode of transportation, transport fuel type, and fuel usage rate (entered in Columns F, G, H, K, L, M, and N) for the empty return trip as for loaded trip.</t>
  </si>
  <si>
    <t>(b) The use of Columns F - O in the “Waste Disposal and Transportation” table in Row 90 is parallel to the use of Columns I - R in the “Materials Use and Transportation” table in Row 65.  Please see Section 9 above for notes and descriptions for use of this table.</t>
  </si>
  <si>
    <t>(c) The default footprint conversion factors in SEFA for processing wastewater at a POTW include the typical footprint from transport of the wastewater through municipal lines.  Therefore, you should leave Columns F - O blank when modelling “POTW” as a waste destination.</t>
  </si>
  <si>
    <t>11) Water Use (Row 121)</t>
  </si>
  <si>
    <t>(i) The items selected in the drop-down menu in Column A are summed according to source, and totals for each source are reported in Rows 15 - 21 in the “Summary” tab of the “Main” workbook.</t>
  </si>
  <si>
    <t>(ii) Narrative remarks in Columns F, J, N, and S are not forwarded to the “Summary” tab in the “Main” workbook, and SEFA will not use information in these Columns for the footprint calculations.</t>
  </si>
  <si>
    <t>(d) No data entry options are provided in the “Water Use” table for transport of water from off-site suppliers.  If water is transported to the site by truck or other vehicle, you may use the “Materials” table on Row 72 to model the transport, and use the notes section in Column S of that table to identify the entry.</t>
  </si>
  <si>
    <t>(ii) If transport based on gptm is being used for the water, leave Columns A and F - H of the “Materials” table blank.  Enter the quantity of water (in tons) in Column D, and relevant transport information in Columns N, O, and Q.</t>
  </si>
  <si>
    <t>(e) If you do not find the water source you are looking for in the drop-down menu in Column A, or if you are using a public water source that has footprint conversion factors that are different from the default footprint conversion factors in SEFA, you may add a “User-defined Water Resource” to the drop-down menu.  For instructions, please see the “User Defined Factors” tab in the “Input” workbook.</t>
  </si>
  <si>
    <t>12) Off-Site Laboratory Analysis (Row 147)</t>
  </si>
  <si>
    <t>(a) Select the type of analysis from the drop-down menu in Column M, and enter the number of samples undergoing the analysis in Column Q.</t>
  </si>
  <si>
    <t>(b) The drop-down menu in Column M allows selection from 10 sample analyses typically found at cleanup sites.  The selection "Off-site Laboratory Analysis - Other" from the drop-down menu uses footprint conversion factors based on an average of the other 10 analyses.  If you do not find the sample analysis you are looking for in the drop-down menu, use a selection that most closely fits the analysis, and make a note in Column S to describe the analysis being represented.</t>
  </si>
  <si>
    <t>(c) No data entry options are provided in the “Off-Site Laboratory Analysis” table for transport of samples to off-site laboratories.  You may use the “Materials” table on Row 72 to model the transport, and use the notes section in Column S of that table to identify the entry.</t>
  </si>
  <si>
    <t>13) Other Energy Use and Air Emissions (Row 147)</t>
  </si>
  <si>
    <t>(a) Rows 151 and 152: If the remedy at your site uses a conventional (i.e., non-renewable) energy source on-site that is not represented elsewhere in the “Input Template” tab, you may add it as “User-defined on-site conventional energy use” in Rows 151 or 152.  For example, you may have a boiler on-site that runs on fuel oil.  For instructions, please see the “User Defined Factors” tab in the “Input” workbook.</t>
  </si>
  <si>
    <t>(b) Row 152: If the remedy at your site results in emissions of on-site hazardous air pollutants (HAPs) that are not represented elsewhere in the “Input Template” tab, you may add them as “On-site HAP process emissions” in Row 152.  For example, the treatment system at your site may release fugitive VOC emissions.  Enter the quantity of the emissions in lbs in Cell F152, and use the notes space in Cell G152 to describe the source and type of emissions.</t>
  </si>
  <si>
    <t>(c) Row 153: If the remedy at your site results in greenhouse gas (GHG) emissions that are not represented elsewhere in the “Input Template” tab, you may add them as “On-site GHG emissions” in Row 153.  For example, the landfill gas collection system at your site may not be 100% efficient, resulting in fugitive emissions of methane.  Enter the quantity of the emissions in lbs CO2e in Cell F153, and use the notes space in Cell G153 to describe the source and type of emissions.</t>
  </si>
  <si>
    <t>(d) Row 154: If the remedy at your site results in carbon or greenhouse gas storage, you may add this as “On-site carbon storage” in Row 154.  For example, you may have planted trees as part of your remedy, resulting in uptake of CO2.  Enter the quantity of the carbon storage provided by the trees in lbs CO2e in Cell F154, and use the notes space in Cell G154 to describe the source and type of carbon storage.  The quantity in Cell F154 must be entered as a negative number to represent storage.</t>
  </si>
  <si>
    <t>(e) Row 155: If you are flaring landfill gas at your site, you may add this as “GHG avoided by flaring on-site landfill methane” in Row 155.  Enter the quantity of methane flared in ccf CH4 in Cell F155, and use the notes space in Cell G155 to describe the source and type of GHG storage.  Recall that landfill gas is not 100% methane and adjust the amount entered in Cell F155 accordingly.  Use Row 155 only for landfill gas that is combusted but not used for energy production.  For landfill gas used in energy production, use the “Landfill Gas Combusted On-Site for Energy Use” table on Row 61 of the “Input Template” tab.  Additional notes:</t>
  </si>
  <si>
    <t>(f) Rows 156, 157, and 158: If the remedy at your site results in NOx, SOx, or PM emissions or reductions that are not represented elsewhere in the “Input Template” tab, you may add these as “Other on-site NOx/SOx/PM emissions or reductions” in Rows 156, 157, and 158.  For example, NOx emissions may occur as a result of fertilizer application during reseeding of disturbed soils.  As another example, PM reductions may be achieved through particulate filters on diesel equipment used on-site.  Enter the quantity of NOx/SOx/PM emissions or reductions in lbs in Cells F156, F157, and F158, and use the notes spaces in Cells G156, G157, and G158 to describe the items.  The quantities must be entered as positive numbers to represent emissions and negative numbers to represent reductions.</t>
  </si>
  <si>
    <t>(g) Rows 161 and 162: If the remedy at your site uses a conventional (i.e., non-renewable) energy source for transportation that is not represented elsewhere in the “Input Template” tab, you may add it as “User-defined conventional energy transportation" in Rows 161 or 162.  For example, you may want to more accurately model the fuel used in rail transport of materials to your site, instead of using the default assumption of diesel fuel.  For instructions, please see the “User Defined Factors” tab in the “Input” workbook.</t>
  </si>
  <si>
    <t>14) Other Voluntary Renewable Energy Use (Row 167)</t>
  </si>
  <si>
    <t>(a) Rows 169 and 170: If the remedy at your site uses a renewable energy source on-site that is not represented elsewhere in the “Input Template” tab, you may add it as “User-defined on-site renewable energy use” in Rows 169 or 170.  For example, you may have a boiler on-site that runs on biomass.  For instructions, please see the “User Defined Factors” tab in the “Input” workbook.</t>
  </si>
  <si>
    <t>(b) Rows 171 and 172: If the remedy at your site uses a renewable energy source for transportation that is not represented elsewhere in the “Input Template” tab, you may add it as “User-defined renewable energy transportation" in Rows 171 or 172.  For example, you may use vehicles that run on ethanol.  For instructions, please see the “User Defined Factors” tab in the “Input” workbook.</t>
  </si>
  <si>
    <t>(c) Rows 173 and 174: Use this space to document voluntary purchases of renewable electricity or Renewable Energy Certificates (RECs).  Enter the quantity of the renewable purchases in MWh in Cells F173 and F174.  Also fill out the tables beginning in Cells M167 and M171 of the “Input Template” tab with specifics on the renewable purchases.  Consistent with the protocol described in EPA’s Methodology, SEFA does not include in the footprint analysis any emissions reductions (or “credits”) that may be associated with the renewable purchases.  However, the MWh amounts for the renewable purchases are included in the “Summary” table of the “Main” workbook.  Please refer to EPA’s Methodology (www.cluin.org/greenremediation/methodology) for a description of the difference between the two types of renewable purchases, and the reasoning behind the protocol.</t>
  </si>
  <si>
    <t>For each material added in the "Materials Use and Transportation" table on Row 72, you should select the material source from three options (“Virgin”, “Recycled”, or “Reused”) in the drop-down menu in Column G.</t>
  </si>
  <si>
    <t>Options for equipment, materials, and waste transportation in the "Input Template" tab include “Truck (mpg)” which represents truck transport based on Miles per Gallon (mpg), and "Combination Truck (gptm)" and “Truck single unit (gptm)” which represent truck transport based on Gallons per Ton-Mile (gptm).  The selection for mode of transportation is made in the drop-down menu in the "Equipment" table in Row 29 (Column M), in the “Materials” table in Row 72 (Column N), and in the “Waste” table in Row 103 (Column K).  Rules of thumb are noted below for the two options for truck transport (mpg and gptm).  However, each cleanup site and remedy is unique, and you should use the mode of transport that is most representative for the situation at hand.</t>
  </si>
  <si>
    <t>Note that the other modes of transportation in the drop-down menu (aircraft, barge, and train) are based on gptm.  The discussion below regarding "Combination Truck (gptm)" and “Truck single unit (gptm)” is also relevant to gptm transport by aircraft, barge, and train.</t>
  </si>
  <si>
    <t>(i)  For mpg, fuel use is calculated based on the one-way distance between the site and supplier (or site and waste destination), number of one-way trips, and type of fuel selected.  These items are found in Column I or J, Column L, and Column O, respectively, in the “Materials” table, and in corresponding Columns in the Equipment and Waste tables.</t>
  </si>
  <si>
    <t>(i) For gptm, fuel use is calculated based on the weight of material or waste being transported, one-way distance between the site and supplier, and type of fuel selected.  These items are found in Column E, Column I or J, and Column O, respectively, in the “Materials” table, and in corresponding Columns in the Equipment and Waste tables.</t>
  </si>
  <si>
    <t>(f) The units for Total Distance (Column H) are dependent on the mode of transportation selected in the drop-down menu in Column E.  The units are:</t>
  </si>
  <si>
    <t>(iii) If “Vehicle (other)” is selected in the drop-down menu, the units should be determined by the user.</t>
  </si>
  <si>
    <t xml:space="preserve">(c) For Horsepower in Column C, you may enter the representative value noted in the drop-down menu (Column A), or a unique value, if known, for the equipment to be used on-site.  The horsepower ratings noted in the drop-down menu in Column A are provided for convenience only, as generally representative values that can be used in the absence of more specific information. They are not recognized in the SEFA calculations unless entered in Column C.  </t>
  </si>
  <si>
    <t xml:space="preserve">(iii) The selections for “Recycled” and “Reused” materials in Column G are combined in the calculation for “% of (un)refined materials from recycled or reused material” in Rows 8 and 10 in the “Summary” table of the “Main” workbook.  The distinction between “Recycled” and “Reused” is retained in the drop-down menu in Column G for the convenience of the user.  </t>
  </si>
  <si>
    <t>** for biodiesel, B20, diesel, and gasoline, units are gallons for Fuel Used and miles/gallon for Fuel Usage Rate; for natural gas, units are hundreds of cubic feet (ccf) for Fuel Used and ccf/miles for Fuel Usage Rate; for electricity, units are miles/kWh for Fuel Usage Rate and the kWh (Fuel Used) are added to total grid electricity used (cell G69).</t>
  </si>
  <si>
    <t>Equipment Fuel Usage Rate</t>
  </si>
  <si>
    <t>Transport Fuel Type***</t>
  </si>
  <si>
    <t>Fuel Used for On-site Equipment</t>
  </si>
  <si>
    <t>Default Transport Fuel Usage Rate
 (gptm or mpg)</t>
  </si>
  <si>
    <t>Transport Fuel Usage Rate Override  (gptm or mpg)</t>
  </si>
  <si>
    <t>Fuel Used for Equipment Transport
(gallons)</t>
  </si>
  <si>
    <t>** For biodiesel, B20, diesel, gasoline, and liquified petroleum gas, units are gallons for Fuel Used for On-site Equipment and gallons/hr for Equipment Fuel Usage Rate; for compressed natural gas units are ccf (hundreds of cubic feet) for Fuel Used for On-site Equipment and ccf/hr for Equipment Fuel Usage Rate.</t>
  </si>
  <si>
    <t>*** Please see the "Detailed Notes and Explanations" tab for instructions on selecting mode of transportation and other aspects of data entry in Columns M, N, and P.  Units are gallons for Fuel Used for Equipment Transport and miles/gallon (mpg) or gallons per ton-mile (gptm) for Transport Fuel Usage Rate.</t>
  </si>
  <si>
    <t>*** Please see the "Detailed Notes and Explanations" tab for instructions on selecting mode of transportation, accounting for empty return trips, and other aspects of data entry in Columns L, N, O, and Q.  Units are gallons for Fuel Used for Materials Transport and miles/gallon (mpg) or gallons per ton-mile (gptm) for Transport Fuel Usage Rate.</t>
  </si>
  <si>
    <t>Default Transport Fuel Usage Rate
(gptm or mpg)</t>
  </si>
  <si>
    <t>Transport Fuel Usage Rate Override (gptm or mpg)</t>
  </si>
  <si>
    <t xml:space="preserve">* Only the "Public Water" selection has an associated footprint.  No footprint is calculated for the other water source selections.  </t>
  </si>
  <si>
    <t>Please Select One Option for Fuel Mix --&gt;</t>
  </si>
  <si>
    <t>* The Default Fuel Mix noted in Column N is a simplified representation of the U.S. national average fuel mix from 2016.  Column B is also populated with the default fuel mix.  The default fuel mix is taken from EPA's "eGRID2016  - Year 2016 Summary Tables", created February 2018.</t>
  </si>
  <si>
    <t>(a) To set a single fuel mix for all Remedy Components, choose “Use a Single Fuel Mix” from the drop-down menu in Cell L5, and enter the fuel mix in Column B.  This fuel mix will be carried forward to all Remedy Components.</t>
  </si>
  <si>
    <t>Use this worksheet to define the fuel mix for grid electricity used at your site.  The fuel mix is the percentage of the various energy sources (natural gas, coal, nuclear, hydro, etc.) used to generate the grid electricity.  SEFA uses this fuel mix to calculate the footprint from generation of the grid electricity.  SEFA provides a default fuel mix for grid electricity in Rows 9 - 19 (Column B) of on this worksheet.  This fuel mix is an average for the U.S. in 2016.  The fuel mix for grid electricity can vary greatly from locale to locale.  The fuel mix for the grid electricity at your site may have a footprint significantly larger or smaller than this average.  If you have high electricity demand at your site, you should research the local grid supplier to determine its fuel mix.  Fuel mixes for local grid electricity providers can often be found on the web pages of the providers.  Once you determine the fuel mix of the local grid supplier, you may enter it in the table above.  Be sure to document the source of information for the local grid mix in the space provided on Row 33.</t>
  </si>
  <si>
    <t>(b) To specify the fuel mix individually for each of 6 (or fewer) Remedy Components, choose “Use Different Fuel Mixes” from the drop-down menu in Cell L5, and enter the specific fuel mix for each of the Remedy Components in Columns B - L (depending on how many Remedy Components are used in the analysis).</t>
  </si>
  <si>
    <t>(d) Note that the default fuel mix (U.S. average in 2016) is also documented in Column N.  This allows you to recover this information in the event that you override the default mix originally located in Column B.</t>
  </si>
  <si>
    <r>
      <rPr>
        <b/>
        <sz val="10"/>
        <color theme="6" tint="-0.499984740745262"/>
        <rFont val="Arial"/>
        <family val="2"/>
      </rPr>
      <t xml:space="preserve">(2)  </t>
    </r>
    <r>
      <rPr>
        <sz val="10"/>
        <rFont val="Arial"/>
        <family val="2"/>
      </rPr>
      <t>When specifying the fuel mix, you have the option to enter an "Other" type of fuel (Row 18 above).  If “Other” fuel is specified, then the table on Row 23 above must be filled in to represent the footprint from electricity generation and resource extraction for the “Other” fuel.  These entries would be based on research that you conduct.  When the table on Row 23 is filled in, it will apply to "Other" fuel sources entered for all Remedy Components (Columns B - L).  If the table on Row 23 is not filled in then the footprint from the “Other” portion of the fuel mix will be zero in the SEFA calculations.</t>
    </r>
  </si>
  <si>
    <r>
      <rPr>
        <b/>
        <sz val="10"/>
        <color theme="6" tint="-0.499984740745262"/>
        <rFont val="Arial"/>
        <family val="2"/>
      </rPr>
      <t xml:space="preserve">(3)  </t>
    </r>
    <r>
      <rPr>
        <sz val="10"/>
        <rFont val="Arial"/>
        <family val="2"/>
      </rPr>
      <t>Based on the values entered in the tables above, SEFA automatically calculates the footprint conversion factors for the grid electricity (in the “Grid Electricity Conversions” tab in the “Calculations” workbook), and automatically applies the footprint conversion factors (in the “Components” tabs in the “Calculations” workbook).  The footprint conversion factors are applied to the electricity usage that you enter in the “Input Template” tab of the “Input” workbook.  Specifically, they are applied to the total grid electricity usage found in Cell G68 of the “Input Template” tab.</t>
    </r>
  </si>
  <si>
    <t>Note:  Entering user-defined emission conversion factors in Rows 7 - 16 will override default conversion factors for all emissions calculations of the same fuel/use throughout the SEFA workbooks.</t>
  </si>
  <si>
    <t>Fuel Usage Rate</t>
  </si>
  <si>
    <t>"mpg" = miles per gallon; "pmpg" = passenger miles per gallon; "mpkWh" = miles per kilowatt hour; "mpccf" = miles per 100 cubic feet"</t>
  </si>
  <si>
    <t xml:space="preserve">User Defined Vehicles in Mode of Transportation for Equipment, Materials, and Waste </t>
  </si>
  <si>
    <t>(e) Water resources</t>
  </si>
  <si>
    <t>(f) Vehicles for personnel transportation</t>
  </si>
  <si>
    <t>(g) Vehicles for equipment, materials, and waste transportation</t>
  </si>
  <si>
    <t>In establishing these unique conversion factors, you must research and document the data, and enter it into the tables as follows:</t>
  </si>
  <si>
    <t>(a) For the tables in Rows 4 - 71, enter the item name in Column A, the units you would like to use for the item in Column B, the factor for converting the specified units to tons in Column C.  Enter the footprint conversion factors in Columns D - N.</t>
  </si>
  <si>
    <t>(b) For the tables in Rows 75 - 89,  enter the item name in Column A and fuel usage rates in Columns C - L.  You need enter fuel usage rates only for those types of fuel that pertain to the vehicles entered in Column A.  SEFA will apply default footprint conversion factors for combustion of fuels associated with user-defined vehicles in Rows 75 - 89.</t>
  </si>
  <si>
    <t>After you have entered an item and its conversion factors or fuel usage rate, you may select (or view) the item in the corresponding table on the “Input Template” tabs in the “Input” workbook.  Once you enter the quantity of the item in an “Input Template” tab, SEFA will include the item in the footprint analysis, and will automatically apply the conversion factors or fuel usage rates in the “Calculations” workbook.</t>
  </si>
  <si>
    <t>For the tables in Rows 4 - 71, the conversion factors in Column D - N represent the amount of energy required for, and the amount of GHG, NOx, SOx, PM, and HAPs air emissions related to, the combustion of fuels, the off-site production of materials, the off-site management of waste, the use of energy, and the provision of water resources. Note that SEFA is equipped with default footprint conversion factors for a variety of materials and activities.  These default conversion factors can be viewed in the “Default Conversions” tab of the “Calculations” workbook and are applied automatically in the “Calculations” workbook.  You may want to view these default conversion factors before deciding whether to create a user-defined item with unique conversion factors.</t>
  </si>
  <si>
    <r>
      <rPr>
        <b/>
        <sz val="10"/>
        <color theme="6" tint="-0.499984740745262"/>
        <rFont val="Arial"/>
        <family val="2"/>
      </rPr>
      <t>(1)  Column A</t>
    </r>
    <r>
      <rPr>
        <sz val="10"/>
        <color theme="6" tint="-0.499984740745262"/>
        <rFont val="Arial"/>
        <family val="2"/>
      </rPr>
      <t xml:space="preserve">: </t>
    </r>
    <r>
      <rPr>
        <sz val="10"/>
        <rFont val="Arial"/>
        <family val="2"/>
      </rPr>
      <t>You are encouraged to enter descriptive names for the fuels, materials, waste processes, energy usage, water resources, or vehicles in Column A.  Once entered, the new names will appear in the respective drop-down menus or data entry cell in the “Input” tab.</t>
    </r>
  </si>
  <si>
    <t xml:space="preserve">(a) For materials and wastes (Rows 18-37), you must enter the units for the item in Column B, and the conversion factor for tons in Column C.
Additional notes: </t>
  </si>
  <si>
    <t>(b) For combustion of fuels (Rows 7 - 16), you must enter the units for the item in Column B, but you are not required to enter a conversion factor in Column C.  The conversions for tons/gal and tons/ccf for these fuels are standard values set by default in SEFA.</t>
  </si>
  <si>
    <t>(c) For energy (Rows 54 - 61), you must enter the units for the item in Column B, but you are not required to enter a conversion factor in Column C.  The conversion for tons per unit is not needed in the SEFA calculations, because the items do not directly affect the amounts of materials or wastes, or the calculations of fuel used for transport.</t>
  </si>
  <si>
    <t>(d) For water resources (Rows 62 &amp; 63, units are "gallons x 1000" as shown in Column B.   You are not required to enter a conversion factor in Column C.</t>
  </si>
  <si>
    <t>(a) For materials, waste, energy usage, and water resources (Rows 18 - 63) enter in Column D the amount of energy (in Btus/unit), associated with the item.</t>
  </si>
  <si>
    <t>(b) For combustion of fuels (Rows 7 - 16), you are not required to enter the amount of energy (in Btu/unit) in Column D.  The energy content in Btu/gal and Btu/ccf for these fuels are standard values set by default in SEFA.</t>
  </si>
  <si>
    <r>
      <rPr>
        <b/>
        <sz val="10"/>
        <color theme="6" tint="-0.499984740745262"/>
        <rFont val="Arial"/>
        <family val="2"/>
      </rPr>
      <t>(4)  Columns F - N</t>
    </r>
    <r>
      <rPr>
        <sz val="10"/>
        <color theme="6" tint="-0.499984740745262"/>
        <rFont val="Arial"/>
        <family val="2"/>
      </rPr>
      <t xml:space="preserve">: </t>
    </r>
    <r>
      <rPr>
        <sz val="10"/>
        <rFont val="Arial"/>
        <family val="2"/>
      </rPr>
      <t>For fuels, materials, waste, energy usage, and water resources (Rows 7 - 63 fill in new row numbers), enter the footprint conversion factors for GHG, NOx, SOx, PM, and HAPs in Column F - N.  These are footprint conversion factors that you have obtained through your own research.  The conversion factors must be based on the units in Column B.</t>
    </r>
  </si>
  <si>
    <r>
      <rPr>
        <b/>
        <sz val="10"/>
        <color theme="6" tint="-0.499984740745262"/>
        <rFont val="Arial"/>
        <family val="2"/>
      </rPr>
      <t>(5)  Column O</t>
    </r>
    <r>
      <rPr>
        <sz val="10"/>
        <color theme="6" tint="-0.499984740745262"/>
        <rFont val="Arial"/>
        <family val="2"/>
      </rPr>
      <t xml:space="preserve">: </t>
    </r>
    <r>
      <rPr>
        <sz val="10"/>
        <rFont val="Arial"/>
        <family val="2"/>
      </rPr>
      <t>Provide a reference number in Column O.  (Reference numbers should be placed in Column N and Column H for vehicles in the tables beginning on Rows 68 and 77, respectively.) Full references for footprint conversion factors or fuel usage rates can be added in the open space below the table.</t>
    </r>
  </si>
  <si>
    <r>
      <rPr>
        <b/>
        <sz val="10"/>
        <color theme="6" tint="-0.499984740745262"/>
        <rFont val="Arial"/>
        <family val="2"/>
      </rPr>
      <t>(6)  Columns P - T</t>
    </r>
    <r>
      <rPr>
        <sz val="10"/>
        <color theme="6" tint="-0.499984740745262"/>
        <rFont val="Arial"/>
        <family val="2"/>
      </rPr>
      <t xml:space="preserve">: </t>
    </r>
    <r>
      <rPr>
        <sz val="10"/>
        <rFont val="Arial"/>
        <family val="2"/>
      </rPr>
      <t>The entries in these columns reiterate the original text in Column A, to document the purpose of each of the rows.  (The original entry in Column A disappears once you enter a unique item in that Column.)  Do not use any row in this table for a purpose other than that described in Columns P - T.  For example, do not enter a fuel combustion item in Rows 16 - 35 (designated for materials manufacturing) or Rows 38 - 49 (designated for waste management).  (These entries are found in Columns N - P and Columns H - L for vehicles in the tables beginning on Rows 68 and 77, respectively.)</t>
    </r>
  </si>
  <si>
    <t>Examples for Rows 18 - 37 (Manufacturing or processing of materials)</t>
  </si>
  <si>
    <t>(1) For example, composite siding is not found in the drop-down menu.  If composite siding is used on-site (e.g., for  weatherproofing buildings), you may want to add it to the drop-down menu.  To do this, enter “Composite siding” in Column A above.  Column B might be “lbs” (of the siding) and Column C would be “0.0005”, the conversion factor from lbs to tons.  The footprint conversion factors in Columns D - N would represent the energy required, and the GHG, NOx, SOx, PM, and HAPs emissions to air, associated with the off-site manufacture of the composite siding.  The entry in Column D would be in units of MMBtu/lb (that is, MMBtu energy required per lb composite siding manufactured), Column F would be in units of lbs CO2e/lb (that is, lbs CO2e emissions per lb composite siding manufactured), Column H would be lbs NOx/lb, etc.</t>
  </si>
  <si>
    <t>Once the user-defined material has been entered above, you may return to the “Materials Use and Transportation” table in the "Input Template" tab, select the newly added material from the drop-down menu in Column A, and enter the quantity of the material used at your site.  All entries made in Rows 18 - 37 above are considered in SEFA as part of the off-site footprint.</t>
  </si>
  <si>
    <t>Examples for Rows 39 - 51 (Management and recycling of wastes)</t>
  </si>
  <si>
    <t>You may want to add to the footprint analysis a waste management or recycling process not found in SEFA.  You should first check the drop-down menu in Column A of the “Waste Disposal and Transportation” table on Row 90 of the “Input Template” tab in the “Input” workbook.  If the waste or recycling process is not already in the drop-down menu, you may add the process and its footprint conversion factors in Rows 39 - 51 in the "User Defined Factors" tab (above).  You may also want to add a user-defined waste destination to provide unique (more accurate) footprint conversion factors for a waste destination or process already included in the drop-down menu.</t>
  </si>
  <si>
    <t>Once the user-defined waste destination has been entered above, you may return to the “Waste Disposal and Transportation” table in the "Input Template" tab, select the newly added waste destination or process from the drop-down menu in Column A, and enter the quantity of the waste sent to the waste disposal or recycling location.  Entries made in Rows 40 - 42 above are considered in SEFA as part of the on-site footprint.  Entries in Rows 43 - 51 are part of the off-site footprint.</t>
  </si>
  <si>
    <t>(1)  For example, anaerobic digestion is not found in the drop-down menu.  If waste from your site is being sent to an off-site anaerobic digester, you may want to add it to the drop-down menu.  To do this, enter “Anaerobic digester” in Column A above.  Column B might be “tons” (of waste) and Column C would be “1”, the conversion factor from tons to tons.  The footprint conversion factors in Columns D - N would represent the energy required, and the GHG, NOx, SOx, PM, and HAPs emissions to air, associated with anaerobic digestion of the waste.  The entry in Column D would be in units of MMBtu/ton (that is, MMBtu energy required per ton of waste undergoing anaerobic digestion), Column F would be in units of lbs CO2e/ton (that is, lbs CO2e emissions per ton of waste undergoing anaerobic digestion), Column H would be lbs NOx/ton, etc.</t>
  </si>
  <si>
    <t>Examples for Rows 54 - 61 (Use of conventional and renewable energy)</t>
  </si>
  <si>
    <t>You may want to add to the footprint analysis an energy usage not found in SEFA.  Inputs for energy usages are found in the tables in Rows 14 - 174 of the "Input Template" tab in the "Input" workbook.  If an energy usage at your site is not available in these tables, you may add the name of the energy usage and its footprint conversion factors in Rows 54 - 61 above.</t>
  </si>
  <si>
    <t>(1) For example, your site may burn fuel oil in a boiler (a conventional fuel used on-site).  SEFA does not include this type of energy usage in Rows 14 - 174 of the "Input Template" tab.  To model the energy usage of the boiler, use Row 54 or 55 in the table above.  Enter the name of the activity in Column A, the units in Column B (for example, gallons of fuel oil), and the footprint conversion factors in Columns D - N.  Once the fuel oil usage has been entered above, you may return to the “Input Template” tab, and find the new item represented in Row 150 or 151.  Enter the quantity of fuel oil in Cell F150 of F151 of the “Input Template” tab.  SEFA will automatically apply the new conversion factors to this item only.</t>
  </si>
  <si>
    <t>(2) As another example, your site may use personnel transportation vehicles that run on bio-based ethanol (a renewable fuel used in transportation).  SEFA does not include this type of energy usage in Rows 14 - 174 of the "Input Template" tab.  To model the ethanol vehicles, use Row 60 or 61 in the table above.  Enter the name of the activity in Column A, the units in Column B (for example, gallons of ethanol), and the footprint conversion factors in Columns D - N.  Once the ethanol usage has been entered above, you may return to the “Input Template” tab, and find the new item represented in Row 171 or 172.   Enter the quantity of ethanol in Cell F171 or F172 of the “Input Template” tab.  SEFA will automatically apply the new conversion factors to this item only.</t>
  </si>
  <si>
    <t>(5) SEFA does not provide for separate modelling of the production (e.g., resource extraction or processing of fuel oil or ethanol) of a unique energy source that may be added in Rows 54 - 61 above.  Instead, SEFA will use default footprint conversion factors for the fuel type.</t>
  </si>
  <si>
    <t>(4) Entries made in Rows 54, 55, 58, and 59 above are considered in SEFA as part of the on-site footprint.  Entries made in Rows 56, 57, 60, and 61 above are considered in SEFA as part of the transportation footprint.</t>
  </si>
  <si>
    <t>Examples for Rows 7 - 16 (Combustion of fuels for transportation and on-site equipment)</t>
  </si>
  <si>
    <t>(5) SEFA does not provide for separate modelling of the production (e.g., resource extraction or processing of ultra-low sulfur diesel) of the unique fuel that may be added in Rows 7 - 16 above.  Instead, SEFA will used default footprint conversion factors for the fuel type.</t>
  </si>
  <si>
    <t>(1) For example, your site may use on-site diesel equipment that has been retrofitted with particulate filters..  To model the emissions from this equipment, use Row 8 in the table above.  Enter the name of the fuel combustion situation in Column A, the units in Column B (for example, gallons of diesel), and the footprint conversion factors in Columns F - N.  Once you enter unique conversion factors for this situation in the table above, the factors will override the default conversion factors in SEFA, and SEFA will automatically apply the new factors to all on-site diesel combustion.  In this example, the unique footprint conversion factors will be applied to all on-site diesel equipment that you enter into the “Input Template” tab.</t>
  </si>
  <si>
    <t>(4) Entries made in Rows 7 - 12 above are considered in SEFA as part of the on-site footprint.  Entries made in Rows 13 - 16 above are considered in SEFA as part of the transportation footprint.</t>
  </si>
  <si>
    <t>** Please see the "Detailed Notes and Explanations" tab for instructions on selecting mode of transportation, accounting for empty return trips, and other aspects of data entry in Columns I, K, L, and N.  Units are gallons for Fuel Used for Waste Transport and miles/gallon (mpg) or gallons per ton-mile (gptm) for Transport Fuel Usage Rate.</t>
  </si>
  <si>
    <t>See the “Detailed Notes and Explanations” tab for use of this table.</t>
  </si>
  <si>
    <t>Screen Length in Feet</t>
  </si>
  <si>
    <t xml:space="preserve">On-site biodiesel use - Other </t>
  </si>
  <si>
    <r>
      <rPr>
        <b/>
        <sz val="10"/>
        <color theme="1"/>
        <rFont val="Times New Roman"/>
        <family val="1"/>
      </rPr>
      <t>*Default Fuel Mix</t>
    </r>
    <r>
      <rPr>
        <sz val="10"/>
        <color theme="1"/>
        <rFont val="Times New Roman"/>
        <family val="1"/>
      </rPr>
      <t xml:space="preserve">
</t>
    </r>
    <r>
      <rPr>
        <u/>
        <sz val="10"/>
        <color theme="1"/>
        <rFont val="Times New Roman"/>
        <family val="1"/>
      </rPr>
      <t>% of Total</t>
    </r>
  </si>
  <si>
    <t>Spreadsheets for Environmental Footprint Analysis (SEFA) Version 3.0, November 2019</t>
  </si>
  <si>
    <t>U.S. Environmental Protection Agency (EPA), Office of Superfund Remediation and Technology Innovation</t>
  </si>
  <si>
    <t>6) On-Site Electricity Use (Row 43)</t>
  </si>
  <si>
    <t>7) On-Site Natural Gas Use (Row 43)</t>
  </si>
  <si>
    <t>8) Landfill Gas Combusted On-Site for Energy Use (Row 53)</t>
  </si>
  <si>
    <t>9) Materials Use and Transportation (Row 65)</t>
  </si>
  <si>
    <t>10) Waste Disposal and Transportation (Row 90)</t>
  </si>
  <si>
    <t>11) Water Use (Row 108)</t>
  </si>
  <si>
    <t>12) Off-Site Laboratory Analysis (Row 129)</t>
  </si>
  <si>
    <t>13) Other Energy Use and Air Emissions (Row 129)</t>
  </si>
  <si>
    <t>14) Other Voluntary Renewable Energy Use (Row 149)</t>
  </si>
  <si>
    <t xml:space="preserve">15) Discussion for Selection of Virgin vs Recycled vs Reused Materials </t>
  </si>
  <si>
    <t xml:space="preserve">16) Discussion of Miles per Gallon (mpg) vs Gallons per Ton-Mile (gptm) </t>
  </si>
  <si>
    <t xml:space="preserve">17) Additional Flexibility for Combustion of Fuels </t>
  </si>
  <si>
    <t>Topics Detailed in Sections 1-17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</si>
</sst>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0"/>
  </numFmts>
  <fonts count="76" x14ac:knownFonts="1">
    <font>
      <sz val="11"/>
      <color theme="1"/>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sz val="11"/>
      <name val="Calibri"/>
      <family val="2"/>
      <scheme val="minor"/>
    </font>
    <font>
      <b/>
      <i/>
      <sz val="11"/>
      <color theme="1"/>
      <name val="Calibri"/>
      <family val="2"/>
      <scheme val="minor"/>
    </font>
    <font>
      <i/>
      <sz val="18"/>
      <color theme="1"/>
      <name val="Calibri"/>
      <family val="2"/>
      <scheme val="minor"/>
    </font>
    <font>
      <sz val="10"/>
      <color theme="1"/>
      <name val="Times New Roman"/>
      <family val="1"/>
    </font>
    <font>
      <b/>
      <sz val="10"/>
      <color theme="1"/>
      <name val="Times New Roman"/>
      <family val="1"/>
    </font>
    <font>
      <sz val="11"/>
      <color theme="1"/>
      <name val="Calibri"/>
      <family val="2"/>
    </font>
    <font>
      <i/>
      <sz val="16"/>
      <color theme="1"/>
      <name val="Calibri"/>
      <family val="2"/>
      <scheme val="minor"/>
    </font>
    <font>
      <b/>
      <sz val="10"/>
      <color indexed="8"/>
      <name val="Times New Roman"/>
      <family val="1"/>
    </font>
    <font>
      <b/>
      <sz val="10"/>
      <color rgb="FF000000"/>
      <name val="Times New Roman"/>
      <family val="1"/>
    </font>
    <font>
      <sz val="10"/>
      <color rgb="FF000000"/>
      <name val="Times New Roman"/>
      <family val="1"/>
    </font>
    <font>
      <i/>
      <u/>
      <sz val="10"/>
      <color theme="1"/>
      <name val="Times New Roman"/>
      <family val="1"/>
    </font>
    <font>
      <b/>
      <sz val="14"/>
      <color theme="1"/>
      <name val="Times New Roman"/>
      <family val="1"/>
    </font>
    <font>
      <i/>
      <u/>
      <sz val="10"/>
      <color indexed="8"/>
      <name val="Times New Roman"/>
      <family val="1"/>
    </font>
    <font>
      <vertAlign val="subscript"/>
      <sz val="10"/>
      <color theme="1"/>
      <name val="Times New Roman"/>
      <family val="1"/>
    </font>
    <font>
      <i/>
      <u/>
      <sz val="11"/>
      <color indexed="8"/>
      <name val="Calibri"/>
      <family val="2"/>
      <scheme val="minor"/>
    </font>
    <font>
      <sz val="11"/>
      <color theme="1"/>
      <name val="Calibri"/>
      <family val="2"/>
      <scheme val="minor"/>
    </font>
    <font>
      <i/>
      <sz val="10"/>
      <color theme="1"/>
      <name val="Times New Roman"/>
      <family val="1"/>
    </font>
    <font>
      <sz val="8"/>
      <color theme="1"/>
      <name val="Calibri"/>
      <family val="2"/>
      <scheme val="minor"/>
    </font>
    <font>
      <b/>
      <i/>
      <sz val="11"/>
      <color theme="1"/>
      <name val="Calibri"/>
      <family val="2"/>
    </font>
    <font>
      <i/>
      <sz val="11"/>
      <color theme="1"/>
      <name val="Calibri"/>
      <family val="2"/>
    </font>
    <font>
      <b/>
      <i/>
      <sz val="11"/>
      <color rgb="FF000000"/>
      <name val="Calibri"/>
      <family val="2"/>
      <scheme val="minor"/>
    </font>
    <font>
      <b/>
      <sz val="12"/>
      <color rgb="FFFF0000"/>
      <name val="Calibri"/>
      <family val="2"/>
      <scheme val="minor"/>
    </font>
    <font>
      <b/>
      <i/>
      <sz val="11"/>
      <color rgb="FFFF0000"/>
      <name val="Calibri"/>
      <family val="2"/>
      <scheme val="minor"/>
    </font>
    <font>
      <b/>
      <strike/>
      <sz val="10"/>
      <color theme="1"/>
      <name val="Times New Roman"/>
      <family val="1"/>
    </font>
    <font>
      <b/>
      <i/>
      <sz val="10"/>
      <color theme="1"/>
      <name val="Times New Roman"/>
      <family val="1"/>
    </font>
    <font>
      <u/>
      <sz val="10"/>
      <color rgb="FF000000"/>
      <name val="Times New Roman"/>
      <family val="1"/>
    </font>
    <font>
      <u/>
      <sz val="11"/>
      <color theme="1"/>
      <name val="Calibri"/>
      <family val="2"/>
      <scheme val="minor"/>
    </font>
    <font>
      <b/>
      <sz val="9"/>
      <color theme="1"/>
      <name val="Times New Roman"/>
      <family val="1"/>
    </font>
    <font>
      <b/>
      <sz val="11"/>
      <color rgb="FF00B050"/>
      <name val="Calibri"/>
      <family val="2"/>
      <scheme val="minor"/>
    </font>
    <font>
      <sz val="10"/>
      <color theme="1"/>
      <name val="Calibri"/>
      <family val="2"/>
    </font>
    <font>
      <b/>
      <sz val="12"/>
      <color theme="1"/>
      <name val="Calibri"/>
      <family val="2"/>
      <scheme val="minor"/>
    </font>
    <font>
      <b/>
      <u/>
      <sz val="11"/>
      <color theme="1"/>
      <name val="Calibri"/>
      <family val="2"/>
      <scheme val="minor"/>
    </font>
    <font>
      <i/>
      <sz val="10"/>
      <color theme="1"/>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11"/>
      <color rgb="FF00B050"/>
      <name val="Calibri"/>
      <family val="2"/>
    </font>
    <font>
      <sz val="12"/>
      <color theme="1"/>
      <name val="Calibri"/>
      <family val="2"/>
      <scheme val="minor"/>
    </font>
    <font>
      <b/>
      <i/>
      <sz val="9"/>
      <color theme="6" tint="-0.499984740745262"/>
      <name val="Arial"/>
      <family val="2"/>
    </font>
    <font>
      <sz val="11"/>
      <color theme="1"/>
      <name val="Arial"/>
      <family val="2"/>
    </font>
    <font>
      <b/>
      <sz val="11"/>
      <color theme="1"/>
      <name val="Arial"/>
      <family val="2"/>
    </font>
    <font>
      <b/>
      <sz val="14"/>
      <color theme="1"/>
      <name val="Calibri"/>
      <family val="2"/>
      <scheme val="minor"/>
    </font>
    <font>
      <sz val="8"/>
      <color theme="0"/>
      <name val="Calibri"/>
      <family val="2"/>
      <scheme val="minor"/>
    </font>
    <font>
      <b/>
      <sz val="10"/>
      <color theme="6" tint="-0.499984740745262"/>
      <name val="Arial"/>
      <family val="2"/>
    </font>
    <font>
      <sz val="10"/>
      <name val="Arial"/>
      <family val="2"/>
    </font>
    <font>
      <b/>
      <sz val="11"/>
      <color theme="6" tint="-0.499984740745262"/>
      <name val="Arial"/>
      <family val="2"/>
    </font>
    <font>
      <b/>
      <u/>
      <sz val="12"/>
      <color theme="1"/>
      <name val="Calibri"/>
      <family val="2"/>
      <scheme val="minor"/>
    </font>
    <font>
      <b/>
      <sz val="12"/>
      <name val="Calibri"/>
      <family val="2"/>
      <scheme val="minor"/>
    </font>
    <font>
      <b/>
      <sz val="11"/>
      <name val="Calibri"/>
      <family val="2"/>
      <scheme val="minor"/>
    </font>
    <font>
      <b/>
      <sz val="11"/>
      <color theme="1"/>
      <name val="Times New Roman"/>
      <family val="1"/>
    </font>
    <font>
      <sz val="16"/>
      <color theme="1"/>
      <name val="Calibri"/>
      <family val="2"/>
      <scheme val="minor"/>
    </font>
    <font>
      <b/>
      <sz val="8"/>
      <color theme="1"/>
      <name val="Times New Roman"/>
      <family val="1"/>
    </font>
    <font>
      <u/>
      <sz val="10"/>
      <color theme="1"/>
      <name val="Times New Roman"/>
      <family val="1"/>
    </font>
    <font>
      <b/>
      <i/>
      <sz val="11"/>
      <color theme="1"/>
      <name val="Times New Roman"/>
      <family val="1"/>
    </font>
    <font>
      <b/>
      <sz val="10"/>
      <color theme="1"/>
      <name val="Arial"/>
      <family val="2"/>
    </font>
    <font>
      <b/>
      <i/>
      <sz val="10"/>
      <color theme="6" tint="-0.499984740745262"/>
      <name val="Arial"/>
      <family val="2"/>
    </font>
    <font>
      <i/>
      <sz val="10"/>
      <color theme="6" tint="-0.499984740745262"/>
      <name val="Arial"/>
      <family val="2"/>
    </font>
    <font>
      <sz val="10"/>
      <color theme="6" tint="-0.499984740745262"/>
      <name val="Arial"/>
      <family val="2"/>
    </font>
    <font>
      <b/>
      <u/>
      <sz val="11"/>
      <color theme="6" tint="-0.499984740745262"/>
      <name val="Arial"/>
      <family val="2"/>
    </font>
    <font>
      <u/>
      <sz val="10"/>
      <name val="Arial"/>
      <family val="2"/>
    </font>
    <font>
      <b/>
      <i/>
      <sz val="10"/>
      <color theme="1"/>
      <name val="Arial"/>
      <family val="2"/>
    </font>
    <font>
      <i/>
      <sz val="9"/>
      <color theme="1"/>
      <name val="Arial"/>
      <family val="2"/>
    </font>
    <font>
      <b/>
      <i/>
      <sz val="10"/>
      <color theme="1"/>
      <name val="Calibri"/>
      <family val="2"/>
      <scheme val="minor"/>
    </font>
    <font>
      <b/>
      <sz val="9"/>
      <color theme="6" tint="-0.499984740745262"/>
      <name val="Arial"/>
      <family val="2"/>
    </font>
    <font>
      <b/>
      <sz val="11"/>
      <color theme="1"/>
      <name val="Calibri"/>
      <family val="2"/>
    </font>
    <font>
      <sz val="12"/>
      <name val="Calibri"/>
      <family val="2"/>
      <scheme val="minor"/>
    </font>
    <font>
      <b/>
      <u/>
      <sz val="10"/>
      <name val="Arial"/>
      <family val="2"/>
    </font>
    <font>
      <b/>
      <u/>
      <sz val="14"/>
      <color theme="6" tint="-0.499984740745262"/>
      <name val="Arial"/>
      <family val="2"/>
    </font>
    <font>
      <vertAlign val="superscript"/>
      <sz val="11"/>
      <color theme="1"/>
      <name val="Calibri"/>
      <family val="2"/>
      <scheme val="minor"/>
    </font>
    <font>
      <i/>
      <vertAlign val="superscript"/>
      <sz val="11"/>
      <color theme="1"/>
      <name val="Calibri"/>
      <family val="2"/>
      <scheme val="minor"/>
    </font>
    <font>
      <b/>
      <i/>
      <sz val="12"/>
      <color theme="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9" fontId="19" fillId="0" borderId="0" applyFont="0" applyFill="0" applyBorder="0" applyAlignment="0" applyProtection="0"/>
  </cellStyleXfs>
  <cellXfs count="785">
    <xf numFmtId="0" fontId="0" fillId="0" borderId="0" xfId="0"/>
    <xf numFmtId="0" fontId="0" fillId="0" borderId="4" xfId="0" applyBorder="1"/>
    <xf numFmtId="0" fontId="2" fillId="0" borderId="0" xfId="0" applyFont="1" applyAlignment="1">
      <alignment horizontal="right"/>
    </xf>
    <xf numFmtId="0" fontId="0" fillId="0" borderId="0" xfId="0" applyAlignment="1">
      <alignment horizontal="center"/>
    </xf>
    <xf numFmtId="0" fontId="0" fillId="0" borderId="0" xfId="0" applyAlignment="1">
      <alignment horizontal="centerContinuous"/>
    </xf>
    <xf numFmtId="0" fontId="6" fillId="0" borderId="0" xfId="0" applyFont="1"/>
    <xf numFmtId="0" fontId="0" fillId="0" borderId="0" xfId="0" applyAlignment="1" applyProtection="1">
      <alignment horizontal="center"/>
      <protection locked="0"/>
    </xf>
    <xf numFmtId="0" fontId="0" fillId="0" borderId="0" xfId="0" applyProtection="1">
      <protection locked="0"/>
    </xf>
    <xf numFmtId="0" fontId="1" fillId="0" borderId="0" xfId="0" applyFont="1" applyProtection="1">
      <protection locked="0"/>
    </xf>
    <xf numFmtId="0" fontId="7" fillId="0" borderId="4" xfId="0" applyFont="1" applyBorder="1" applyAlignment="1" applyProtection="1">
      <alignment horizontal="center"/>
      <protection locked="0"/>
    </xf>
    <xf numFmtId="0" fontId="5" fillId="0" borderId="0" xfId="0" applyFont="1"/>
    <xf numFmtId="0" fontId="0" fillId="0" borderId="0" xfId="0" applyAlignment="1">
      <alignment vertical="top" wrapText="1"/>
    </xf>
    <xf numFmtId="0" fontId="0" fillId="0" borderId="6" xfId="0" applyBorder="1" applyAlignment="1" applyProtection="1">
      <alignment horizontal="left"/>
      <protection locked="0"/>
    </xf>
    <xf numFmtId="0" fontId="7" fillId="0" borderId="0" xfId="0" applyFont="1" applyAlignment="1" applyProtection="1">
      <alignment horizontal="center"/>
      <protection locked="0"/>
    </xf>
    <xf numFmtId="0" fontId="0" fillId="5" borderId="4" xfId="0" applyFill="1" applyBorder="1" applyAlignment="1" applyProtection="1">
      <alignment horizontal="center" wrapText="1"/>
      <protection locked="0"/>
    </xf>
    <xf numFmtId="0" fontId="0" fillId="5" borderId="4" xfId="0" applyFill="1" applyBorder="1" applyAlignment="1" applyProtection="1">
      <alignment horizontal="center"/>
      <protection locked="0"/>
    </xf>
    <xf numFmtId="9" fontId="0" fillId="5" borderId="4" xfId="1" applyFont="1" applyFill="1" applyBorder="1" applyAlignment="1" applyProtection="1">
      <alignment horizontal="center"/>
      <protection locked="0"/>
    </xf>
    <xf numFmtId="0" fontId="4" fillId="5" borderId="4" xfId="0" applyFont="1" applyFill="1" applyBorder="1" applyAlignment="1" applyProtection="1">
      <alignment horizontal="center" wrapText="1"/>
      <protection locked="0"/>
    </xf>
    <xf numFmtId="0" fontId="4" fillId="5" borderId="4" xfId="0" applyFont="1" applyFill="1" applyBorder="1" applyAlignment="1" applyProtection="1">
      <alignment horizontal="center"/>
      <protection locked="0"/>
    </xf>
    <xf numFmtId="0" fontId="0" fillId="5" borderId="4" xfId="0" applyFill="1" applyBorder="1"/>
    <xf numFmtId="0" fontId="7" fillId="5" borderId="4" xfId="0" applyFont="1" applyFill="1" applyBorder="1"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wrapText="1"/>
      <protection locked="0"/>
    </xf>
    <xf numFmtId="0" fontId="0" fillId="0" borderId="0" xfId="0" quotePrefix="1" applyAlignment="1" applyProtection="1">
      <alignment vertical="top"/>
      <protection locked="0"/>
    </xf>
    <xf numFmtId="0" fontId="21" fillId="0" borderId="0" xfId="0" applyFont="1" applyAlignment="1" applyProtection="1">
      <alignment wrapText="1"/>
      <protection locked="0"/>
    </xf>
    <xf numFmtId="0" fontId="2" fillId="0" borderId="0" xfId="0" applyFont="1" applyProtection="1">
      <protection locked="0"/>
    </xf>
    <xf numFmtId="0" fontId="2" fillId="0" borderId="0" xfId="0" applyFont="1" applyAlignment="1" applyProtection="1">
      <alignment horizontal="right"/>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 fillId="0" borderId="0" xfId="0" applyFont="1" applyAlignment="1" applyProtection="1">
      <alignment wrapText="1"/>
      <protection locked="0"/>
    </xf>
    <xf numFmtId="0" fontId="10" fillId="0" borderId="0" xfId="0" applyFont="1" applyAlignment="1" applyProtection="1">
      <alignment vertical="center" wrapText="1"/>
      <protection locked="0"/>
    </xf>
    <xf numFmtId="0" fontId="0" fillId="5" borderId="1" xfId="0" applyFill="1" applyBorder="1" applyAlignment="1" applyProtection="1">
      <alignment horizontal="center"/>
      <protection locked="0"/>
    </xf>
    <xf numFmtId="9" fontId="0" fillId="5" borderId="4" xfId="1" applyFont="1" applyFill="1" applyBorder="1" applyAlignment="1" applyProtection="1">
      <alignment horizontal="center" wrapText="1"/>
      <protection locked="0"/>
    </xf>
    <xf numFmtId="0" fontId="0" fillId="0" borderId="0" xfId="0" applyAlignment="1" applyProtection="1">
      <alignment horizontal="left"/>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protection locked="0"/>
    </xf>
    <xf numFmtId="0" fontId="15" fillId="0" borderId="0" xfId="0" applyFont="1" applyProtection="1">
      <protection locked="0"/>
    </xf>
    <xf numFmtId="0" fontId="8" fillId="0" borderId="0" xfId="0" applyFont="1" applyAlignment="1" applyProtection="1">
      <alignment horizontal="center" vertical="top"/>
      <protection locked="0"/>
    </xf>
    <xf numFmtId="0" fontId="7" fillId="0" borderId="0" xfId="0" applyFont="1" applyProtection="1">
      <protection locked="0"/>
    </xf>
    <xf numFmtId="0" fontId="8" fillId="0" borderId="0" xfId="0" applyFont="1" applyProtection="1">
      <protection locked="0"/>
    </xf>
    <xf numFmtId="0" fontId="0" fillId="2" borderId="4" xfId="0" applyFill="1" applyBorder="1" applyAlignment="1">
      <alignment horizontal="center"/>
    </xf>
    <xf numFmtId="0" fontId="5" fillId="0" borderId="0" xfId="0" applyFont="1" applyAlignment="1">
      <alignment horizontal="left"/>
    </xf>
    <xf numFmtId="0" fontId="0" fillId="2" borderId="4" xfId="0" applyFill="1" applyBorder="1" applyAlignment="1">
      <alignment horizontal="center" wrapText="1"/>
    </xf>
    <xf numFmtId="0" fontId="1" fillId="0" borderId="0" xfId="0" applyFont="1" applyAlignment="1">
      <alignment horizontal="right"/>
    </xf>
    <xf numFmtId="0" fontId="0" fillId="0" borderId="11" xfId="0" applyBorder="1" applyAlignment="1">
      <alignment wrapText="1"/>
    </xf>
    <xf numFmtId="0" fontId="0" fillId="0" borderId="0" xfId="0" applyAlignment="1">
      <alignment wrapText="1"/>
    </xf>
    <xf numFmtId="0" fontId="1" fillId="0" borderId="0" xfId="0" applyFont="1" applyAlignment="1">
      <alignment horizontal="center" wrapText="1"/>
    </xf>
    <xf numFmtId="0" fontId="4" fillId="2" borderId="4" xfId="0" applyFont="1" applyFill="1" applyBorder="1" applyAlignment="1">
      <alignment horizontal="center"/>
    </xf>
    <xf numFmtId="0" fontId="4" fillId="2" borderId="4" xfId="0" applyFont="1" applyFill="1" applyBorder="1" applyAlignment="1">
      <alignment horizontal="center" wrapText="1"/>
    </xf>
    <xf numFmtId="0" fontId="2" fillId="0" borderId="0" xfId="0" applyFont="1" applyAlignment="1">
      <alignment wrapText="1"/>
    </xf>
    <xf numFmtId="0" fontId="0" fillId="0" borderId="4" xfId="0" applyBorder="1" applyAlignment="1">
      <alignment horizontal="center"/>
    </xf>
    <xf numFmtId="0" fontId="0" fillId="0" borderId="0" xfId="0" applyAlignment="1">
      <alignment horizontal="right"/>
    </xf>
    <xf numFmtId="0" fontId="22" fillId="0" borderId="0" xfId="0" applyFont="1" applyAlignment="1">
      <alignment horizontal="left" vertical="top"/>
    </xf>
    <xf numFmtId="0" fontId="0" fillId="0" borderId="0" xfId="0" applyAlignment="1">
      <alignment horizontal="left"/>
    </xf>
    <xf numFmtId="0" fontId="0" fillId="0" borderId="10" xfId="0" applyBorder="1" applyAlignment="1">
      <alignment horizontal="center" vertical="center" wrapText="1"/>
    </xf>
    <xf numFmtId="0" fontId="1" fillId="0" borderId="4" xfId="0" applyFont="1" applyBorder="1"/>
    <xf numFmtId="0" fontId="7" fillId="0" borderId="4" xfId="0" applyFont="1" applyBorder="1" applyAlignment="1">
      <alignment horizontal="center"/>
    </xf>
    <xf numFmtId="0" fontId="12" fillId="0" borderId="4" xfId="0" applyFont="1" applyBorder="1" applyAlignment="1">
      <alignment horizontal="center" vertical="center"/>
    </xf>
    <xf numFmtId="0" fontId="13" fillId="0" borderId="4" xfId="0" applyFont="1" applyBorder="1" applyAlignment="1">
      <alignment vertical="center"/>
    </xf>
    <xf numFmtId="0" fontId="12" fillId="0" borderId="4" xfId="0" applyFont="1" applyBorder="1" applyAlignment="1">
      <alignment vertical="center"/>
    </xf>
    <xf numFmtId="9" fontId="8" fillId="0" borderId="0" xfId="1" applyFont="1" applyAlignment="1">
      <alignment vertical="center"/>
    </xf>
    <xf numFmtId="0" fontId="13" fillId="0" borderId="0" xfId="0" applyFont="1" applyAlignment="1">
      <alignment vertical="center"/>
    </xf>
    <xf numFmtId="9" fontId="7" fillId="0" borderId="0" xfId="1" applyFont="1" applyAlignment="1">
      <alignment horizontal="center" vertical="center"/>
    </xf>
    <xf numFmtId="0" fontId="8" fillId="0" borderId="4" xfId="0" applyFont="1" applyBorder="1" applyAlignment="1">
      <alignment horizontal="center" wrapText="1"/>
    </xf>
    <xf numFmtId="0" fontId="7" fillId="0" borderId="4" xfId="0" applyFont="1" applyBorder="1"/>
    <xf numFmtId="0" fontId="24" fillId="0" borderId="0" xfId="0" applyFont="1" applyAlignment="1">
      <alignment horizontal="left" vertical="center"/>
    </xf>
    <xf numFmtId="0" fontId="12" fillId="0" borderId="0" xfId="0" applyFont="1" applyAlignment="1">
      <alignment horizontal="center" vertical="center" wrapText="1"/>
    </xf>
    <xf numFmtId="0" fontId="7" fillId="5" borderId="4" xfId="0" applyFont="1" applyFill="1" applyBorder="1" applyAlignment="1" applyProtection="1">
      <alignment horizontal="center" wrapText="1"/>
      <protection locked="0"/>
    </xf>
    <xf numFmtId="0" fontId="1" fillId="6" borderId="0" xfId="0" applyFont="1" applyFill="1" applyAlignment="1">
      <alignment horizontal="centerContinuous"/>
    </xf>
    <xf numFmtId="0" fontId="0" fillId="6" borderId="0" xfId="0" applyFill="1" applyAlignment="1">
      <alignment horizontal="centerContinuous"/>
    </xf>
    <xf numFmtId="0" fontId="0" fillId="6" borderId="6" xfId="0" applyFill="1" applyBorder="1" applyAlignment="1">
      <alignment horizontal="center"/>
    </xf>
    <xf numFmtId="0" fontId="0" fillId="6" borderId="0" xfId="0" applyFill="1"/>
    <xf numFmtId="0" fontId="0" fillId="6" borderId="0" xfId="0" applyFill="1" applyAlignment="1">
      <alignment horizontal="center"/>
    </xf>
    <xf numFmtId="0" fontId="0" fillId="6" borderId="13" xfId="0" applyFill="1" applyBorder="1"/>
    <xf numFmtId="0" fontId="0" fillId="6" borderId="12" xfId="0" applyFill="1" applyBorder="1" applyAlignment="1">
      <alignment horizontal="center"/>
    </xf>
    <xf numFmtId="0" fontId="0" fillId="6" borderId="4" xfId="0" applyFill="1" applyBorder="1"/>
    <xf numFmtId="0" fontId="0" fillId="6" borderId="4" xfId="0" applyFill="1" applyBorder="1" applyAlignment="1">
      <alignment horizontal="center"/>
    </xf>
    <xf numFmtId="0" fontId="0" fillId="6" borderId="1" xfId="0" applyFill="1" applyBorder="1" applyAlignment="1">
      <alignment horizontal="left" indent="1"/>
    </xf>
    <xf numFmtId="0" fontId="0" fillId="6" borderId="2" xfId="0" applyFill="1" applyBorder="1"/>
    <xf numFmtId="0" fontId="0" fillId="6" borderId="3" xfId="0" applyFill="1" applyBorder="1"/>
    <xf numFmtId="0" fontId="2" fillId="6" borderId="0" xfId="0" quotePrefix="1" applyFont="1" applyFill="1" applyAlignment="1">
      <alignment vertical="top" wrapText="1"/>
    </xf>
    <xf numFmtId="0" fontId="2" fillId="6" borderId="0" xfId="0" applyFont="1" applyFill="1" applyAlignment="1">
      <alignment vertical="top" wrapText="1"/>
    </xf>
    <xf numFmtId="0" fontId="1" fillId="6" borderId="4" xfId="0" applyFont="1" applyFill="1" applyBorder="1" applyAlignment="1">
      <alignment horizontal="center" wrapText="1"/>
    </xf>
    <xf numFmtId="0" fontId="1" fillId="6" borderId="10" xfId="0" applyFont="1" applyFill="1" applyBorder="1" applyAlignment="1">
      <alignment horizontal="center"/>
    </xf>
    <xf numFmtId="0" fontId="8" fillId="6" borderId="1" xfId="0" applyFont="1" applyFill="1" applyBorder="1"/>
    <xf numFmtId="0" fontId="7" fillId="6" borderId="4" xfId="0" applyFont="1" applyFill="1" applyBorder="1" applyAlignment="1">
      <alignment horizontal="center"/>
    </xf>
    <xf numFmtId="0" fontId="7" fillId="6" borderId="1" xfId="0" applyFont="1" applyFill="1" applyBorder="1"/>
    <xf numFmtId="0" fontId="6" fillId="6" borderId="0" xfId="0" applyFont="1" applyFill="1"/>
    <xf numFmtId="0" fontId="0" fillId="6" borderId="1" xfId="0" applyFill="1" applyBorder="1"/>
    <xf numFmtId="0" fontId="1" fillId="6" borderId="1" xfId="0" applyFont="1" applyFill="1" applyBorder="1"/>
    <xf numFmtId="0" fontId="1" fillId="6" borderId="4" xfId="0" applyFont="1" applyFill="1" applyBorder="1" applyAlignment="1">
      <alignment horizontal="center"/>
    </xf>
    <xf numFmtId="0" fontId="7" fillId="6" borderId="2" xfId="0" applyFont="1" applyFill="1" applyBorder="1"/>
    <xf numFmtId="0" fontId="7" fillId="6" borderId="3" xfId="0" applyFont="1" applyFill="1" applyBorder="1" applyAlignment="1">
      <alignment horizontal="center"/>
    </xf>
    <xf numFmtId="0" fontId="6" fillId="6" borderId="0" xfId="0" applyFont="1" applyFill="1" applyAlignment="1">
      <alignment vertical="center" wrapText="1"/>
    </xf>
    <xf numFmtId="0" fontId="21" fillId="6" borderId="0" xfId="0" applyFont="1" applyFill="1" applyAlignment="1">
      <alignment horizontal="left"/>
    </xf>
    <xf numFmtId="0" fontId="20" fillId="6" borderId="8" xfId="0" applyFont="1" applyFill="1" applyBorder="1"/>
    <xf numFmtId="0" fontId="0" fillId="7" borderId="4" xfId="0" applyFill="1" applyBorder="1" applyAlignment="1" applyProtection="1">
      <alignment horizontal="center"/>
      <protection locked="0"/>
    </xf>
    <xf numFmtId="0" fontId="0" fillId="7" borderId="4" xfId="0" applyFill="1" applyBorder="1" applyAlignment="1" applyProtection="1">
      <alignment horizontal="center" wrapText="1"/>
      <protection locked="0"/>
    </xf>
    <xf numFmtId="0" fontId="0" fillId="7" borderId="4" xfId="0" applyFill="1" applyBorder="1"/>
    <xf numFmtId="0" fontId="21" fillId="0" borderId="0" xfId="0" applyFont="1" applyAlignment="1" applyProtection="1">
      <alignment vertical="center" wrapText="1"/>
      <protection locked="0"/>
    </xf>
    <xf numFmtId="0" fontId="1" fillId="0" borderId="4" xfId="0" applyFont="1" applyBorder="1" applyAlignment="1">
      <alignment horizontal="center" wrapText="1"/>
    </xf>
    <xf numFmtId="0" fontId="27" fillId="6" borderId="1" xfId="0" applyFont="1" applyFill="1" applyBorder="1" applyAlignment="1">
      <alignment horizontal="left"/>
    </xf>
    <xf numFmtId="0" fontId="7" fillId="5" borderId="17" xfId="0" applyFont="1" applyFill="1" applyBorder="1" applyAlignment="1" applyProtection="1">
      <alignment horizontal="center"/>
      <protection locked="0"/>
    </xf>
    <xf numFmtId="0" fontId="0" fillId="4" borderId="17" xfId="0" applyFill="1" applyBorder="1"/>
    <xf numFmtId="0" fontId="7" fillId="5" borderId="18" xfId="0" applyFont="1" applyFill="1" applyBorder="1" applyAlignment="1" applyProtection="1">
      <alignment horizontal="center"/>
      <protection locked="0"/>
    </xf>
    <xf numFmtId="0" fontId="7" fillId="5" borderId="20"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0" fillId="4" borderId="22" xfId="0" applyFill="1" applyBorder="1"/>
    <xf numFmtId="0" fontId="7" fillId="5" borderId="23" xfId="0" applyFont="1" applyFill="1" applyBorder="1" applyAlignment="1" applyProtection="1">
      <alignment horizontal="center"/>
      <protection locked="0"/>
    </xf>
    <xf numFmtId="0" fontId="7" fillId="5" borderId="17" xfId="0" applyFont="1" applyFill="1" applyBorder="1" applyAlignment="1" applyProtection="1">
      <alignment horizontal="center" wrapText="1"/>
      <protection locked="0"/>
    </xf>
    <xf numFmtId="0" fontId="7" fillId="5" borderId="22" xfId="0" applyFont="1" applyFill="1" applyBorder="1" applyAlignment="1" applyProtection="1">
      <alignment horizontal="center" wrapText="1"/>
      <protection locked="0"/>
    </xf>
    <xf numFmtId="0" fontId="7" fillId="5" borderId="16" xfId="0" applyFont="1" applyFill="1" applyBorder="1" applyProtection="1">
      <protection locked="0"/>
    </xf>
    <xf numFmtId="0" fontId="7" fillId="5" borderId="19" xfId="0" applyFont="1" applyFill="1" applyBorder="1" applyProtection="1">
      <protection locked="0"/>
    </xf>
    <xf numFmtId="0" fontId="7" fillId="5" borderId="21" xfId="0" applyFont="1" applyFill="1" applyBorder="1" applyProtection="1">
      <protection locked="0"/>
    </xf>
    <xf numFmtId="0" fontId="0" fillId="9" borderId="0" xfId="0" applyFill="1"/>
    <xf numFmtId="0" fontId="3" fillId="0" borderId="4" xfId="0" applyFont="1" applyBorder="1"/>
    <xf numFmtId="9" fontId="8" fillId="2" borderId="4" xfId="1" applyFont="1" applyFill="1" applyBorder="1" applyAlignment="1">
      <alignment horizontal="center" vertical="center"/>
    </xf>
    <xf numFmtId="0" fontId="0" fillId="0" borderId="4" xfId="0" applyBorder="1" applyProtection="1">
      <protection locked="0"/>
    </xf>
    <xf numFmtId="9" fontId="8" fillId="0" borderId="4" xfId="1" applyFont="1" applyBorder="1" applyAlignment="1">
      <alignment horizontal="center" vertical="center"/>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30" fillId="0" borderId="4" xfId="0" applyFont="1" applyBorder="1" applyAlignment="1">
      <alignment horizontal="center"/>
    </xf>
    <xf numFmtId="164" fontId="7" fillId="5" borderId="4" xfId="1" applyNumberFormat="1" applyFont="1" applyFill="1" applyBorder="1" applyAlignment="1" applyProtection="1">
      <alignment horizontal="center" vertical="center"/>
      <protection locked="0"/>
    </xf>
    <xf numFmtId="0" fontId="1" fillId="0" borderId="4" xfId="0" applyFont="1" applyBorder="1" applyAlignment="1">
      <alignment horizontal="center"/>
    </xf>
    <xf numFmtId="0" fontId="7" fillId="5" borderId="24" xfId="0" applyFont="1" applyFill="1" applyBorder="1" applyAlignment="1" applyProtection="1">
      <alignment horizontal="left"/>
      <protection locked="0"/>
    </xf>
    <xf numFmtId="0" fontId="7" fillId="5" borderId="25" xfId="0" applyFont="1" applyFill="1" applyBorder="1" applyAlignment="1" applyProtection="1">
      <alignment horizontal="left"/>
      <protection locked="0"/>
    </xf>
    <xf numFmtId="0" fontId="7" fillId="5" borderId="26" xfId="0" applyFont="1" applyFill="1" applyBorder="1" applyAlignment="1" applyProtection="1">
      <alignment horizontal="left"/>
      <protection locked="0"/>
    </xf>
    <xf numFmtId="0" fontId="7" fillId="5" borderId="33" xfId="0" applyFont="1" applyFill="1" applyBorder="1" applyProtection="1">
      <protection locked="0"/>
    </xf>
    <xf numFmtId="0" fontId="7" fillId="5" borderId="13" xfId="0" applyFont="1" applyFill="1" applyBorder="1" applyAlignment="1" applyProtection="1">
      <alignment horizontal="center"/>
      <protection locked="0"/>
    </xf>
    <xf numFmtId="0" fontId="0" fillId="4" borderId="13" xfId="0" applyFill="1" applyBorder="1"/>
    <xf numFmtId="0" fontId="7" fillId="5" borderId="34" xfId="0" applyFont="1" applyFill="1" applyBorder="1" applyProtection="1">
      <protection locked="0"/>
    </xf>
    <xf numFmtId="0" fontId="7" fillId="5" borderId="10" xfId="0" applyFont="1" applyFill="1" applyBorder="1" applyAlignment="1" applyProtection="1">
      <alignment horizontal="center"/>
      <protection locked="0"/>
    </xf>
    <xf numFmtId="0" fontId="0" fillId="4" borderId="10" xfId="0" applyFill="1" applyBorder="1"/>
    <xf numFmtId="0" fontId="26" fillId="0" borderId="0" xfId="0" applyFont="1" applyAlignment="1">
      <alignment vertical="center"/>
    </xf>
    <xf numFmtId="0" fontId="1" fillId="0" borderId="0" xfId="0" applyFont="1"/>
    <xf numFmtId="0" fontId="0" fillId="0" borderId="1" xfId="0" applyBorder="1" applyAlignment="1">
      <alignment vertical="top"/>
    </xf>
    <xf numFmtId="0" fontId="0" fillId="0" borderId="4" xfId="0" applyBorder="1" applyAlignment="1">
      <alignment horizontal="center" vertical="top"/>
    </xf>
    <xf numFmtId="0" fontId="0" fillId="0" borderId="4" xfId="0" applyBorder="1" applyAlignment="1">
      <alignment vertical="top"/>
    </xf>
    <xf numFmtId="0" fontId="1" fillId="0" borderId="4" xfId="0" applyFont="1" applyBorder="1" applyAlignment="1">
      <alignment vertical="top"/>
    </xf>
    <xf numFmtId="0" fontId="1" fillId="0" borderId="4" xfId="0" applyFont="1" applyBorder="1" applyAlignment="1">
      <alignment horizontal="left"/>
    </xf>
    <xf numFmtId="0" fontId="3" fillId="0" borderId="4" xfId="0" applyFont="1" applyBorder="1" applyAlignment="1">
      <alignment vertical="top"/>
    </xf>
    <xf numFmtId="0" fontId="0" fillId="0" borderId="1" xfId="0" applyBorder="1" applyAlignment="1">
      <alignment horizontal="left" vertical="top"/>
    </xf>
    <xf numFmtId="0" fontId="4" fillId="0" borderId="4" xfId="0" applyFont="1" applyBorder="1" applyAlignment="1">
      <alignment horizontal="center"/>
    </xf>
    <xf numFmtId="0" fontId="18" fillId="0" borderId="4" xfId="0" applyFont="1" applyBorder="1"/>
    <xf numFmtId="0" fontId="0" fillId="0" borderId="0" xfId="0" quotePrefix="1" applyAlignment="1" applyProtection="1">
      <alignment vertical="top" wrapText="1"/>
      <protection locked="0"/>
    </xf>
    <xf numFmtId="0" fontId="2" fillId="0" borderId="0" xfId="0" applyFont="1" applyAlignment="1" applyProtection="1">
      <alignment vertical="top" wrapText="1"/>
      <protection locked="0"/>
    </xf>
    <xf numFmtId="0" fontId="7" fillId="5" borderId="18" xfId="0" applyFont="1" applyFill="1" applyBorder="1" applyAlignment="1" applyProtection="1">
      <alignment horizontal="center" wrapText="1"/>
      <protection locked="0"/>
    </xf>
    <xf numFmtId="0" fontId="7" fillId="5" borderId="20" xfId="0" applyFont="1" applyFill="1" applyBorder="1" applyAlignment="1" applyProtection="1">
      <alignment horizontal="center" wrapText="1"/>
      <protection locked="0"/>
    </xf>
    <xf numFmtId="0" fontId="7" fillId="5" borderId="23" xfId="0" applyFont="1" applyFill="1" applyBorder="1" applyAlignment="1" applyProtection="1">
      <alignment horizontal="center" wrapText="1"/>
      <protection locked="0"/>
    </xf>
    <xf numFmtId="0" fontId="7" fillId="5" borderId="35" xfId="0" applyFont="1" applyFill="1" applyBorder="1" applyAlignment="1" applyProtection="1">
      <alignment horizontal="center"/>
      <protection locked="0"/>
    </xf>
    <xf numFmtId="0" fontId="7" fillId="5" borderId="36" xfId="0" applyFont="1" applyFill="1" applyBorder="1" applyAlignment="1" applyProtection="1">
      <alignment horizontal="center"/>
      <protection locked="0"/>
    </xf>
    <xf numFmtId="0" fontId="0" fillId="5" borderId="18" xfId="0"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8" fillId="0" borderId="10" xfId="0" applyFont="1" applyBorder="1" applyAlignment="1">
      <alignment horizontal="center" wrapText="1"/>
    </xf>
    <xf numFmtId="0" fontId="0" fillId="2" borderId="10" xfId="0" applyFill="1" applyBorder="1" applyAlignment="1">
      <alignment horizontal="center"/>
    </xf>
    <xf numFmtId="0" fontId="38" fillId="0" borderId="0" xfId="0" applyFont="1"/>
    <xf numFmtId="0" fontId="0" fillId="3" borderId="4" xfId="0" applyFill="1" applyBorder="1" applyAlignment="1">
      <alignment horizontal="center"/>
    </xf>
    <xf numFmtId="0" fontId="0" fillId="10" borderId="4" xfId="0" applyFill="1" applyBorder="1" applyAlignment="1">
      <alignment horizontal="center"/>
    </xf>
    <xf numFmtId="0" fontId="0" fillId="8" borderId="4" xfId="0" applyFill="1" applyBorder="1" applyAlignment="1" applyProtection="1">
      <alignment horizontal="center"/>
      <protection locked="0"/>
    </xf>
    <xf numFmtId="0" fontId="1" fillId="4" borderId="0" xfId="0" applyFont="1" applyFill="1"/>
    <xf numFmtId="0" fontId="0" fillId="4" borderId="0" xfId="0" applyFill="1"/>
    <xf numFmtId="0" fontId="39" fillId="0" borderId="4" xfId="0" applyFont="1" applyBorder="1" applyAlignment="1">
      <alignment horizontal="center"/>
    </xf>
    <xf numFmtId="0" fontId="7" fillId="4" borderId="4" xfId="0" applyFont="1" applyFill="1" applyBorder="1" applyAlignment="1">
      <alignment horizontal="center"/>
    </xf>
    <xf numFmtId="0" fontId="31" fillId="0" borderId="10" xfId="0" applyFont="1" applyBorder="1" applyAlignment="1">
      <alignment horizontal="center" wrapText="1"/>
    </xf>
    <xf numFmtId="0" fontId="7" fillId="0" borderId="17" xfId="0" applyFont="1" applyBorder="1" applyAlignment="1">
      <alignment horizontal="center"/>
    </xf>
    <xf numFmtId="0" fontId="8" fillId="4" borderId="17" xfId="0" applyFont="1" applyFill="1" applyBorder="1" applyAlignment="1">
      <alignment horizontal="center" wrapText="1"/>
    </xf>
    <xf numFmtId="0" fontId="7" fillId="4" borderId="17" xfId="0" applyFont="1" applyFill="1" applyBorder="1" applyAlignment="1">
      <alignment horizontal="center" wrapText="1"/>
    </xf>
    <xf numFmtId="0" fontId="8" fillId="0" borderId="17" xfId="0" applyFont="1" applyBorder="1" applyAlignment="1">
      <alignment horizontal="center" wrapText="1"/>
    </xf>
    <xf numFmtId="0" fontId="8" fillId="4" borderId="4" xfId="0" applyFont="1" applyFill="1" applyBorder="1" applyAlignment="1">
      <alignment horizontal="center" wrapText="1"/>
    </xf>
    <xf numFmtId="0" fontId="7" fillId="4" borderId="4" xfId="0" applyFont="1" applyFill="1" applyBorder="1" applyAlignment="1">
      <alignment horizontal="center" wrapText="1"/>
    </xf>
    <xf numFmtId="0" fontId="7" fillId="0" borderId="22" xfId="0" applyFont="1" applyBorder="1" applyAlignment="1">
      <alignment horizontal="center"/>
    </xf>
    <xf numFmtId="0" fontId="8" fillId="4" borderId="22" xfId="0" applyFont="1" applyFill="1" applyBorder="1" applyAlignment="1">
      <alignment horizontal="center" wrapText="1"/>
    </xf>
    <xf numFmtId="0" fontId="7" fillId="4" borderId="22" xfId="0" applyFont="1" applyFill="1" applyBorder="1" applyAlignment="1">
      <alignment horizontal="center" wrapText="1"/>
    </xf>
    <xf numFmtId="0" fontId="8" fillId="0" borderId="22" xfId="0" applyFont="1" applyBorder="1" applyAlignment="1">
      <alignment horizontal="center" wrapText="1"/>
    </xf>
    <xf numFmtId="0" fontId="7" fillId="0" borderId="15" xfId="0" applyFont="1" applyBorder="1" applyAlignment="1">
      <alignment horizontal="center"/>
    </xf>
    <xf numFmtId="0" fontId="21" fillId="0" borderId="0" xfId="0" applyFont="1" applyAlignment="1">
      <alignment horizontal="center"/>
    </xf>
    <xf numFmtId="0" fontId="37" fillId="0" borderId="0" xfId="0" applyFont="1"/>
    <xf numFmtId="0" fontId="1" fillId="0" borderId="41" xfId="0" applyFont="1" applyBorder="1" applyAlignment="1">
      <alignment wrapText="1"/>
    </xf>
    <xf numFmtId="0" fontId="0" fillId="0" borderId="40" xfId="0" applyBorder="1"/>
    <xf numFmtId="0" fontId="1" fillId="0" borderId="37" xfId="0" applyFont="1" applyBorder="1" applyAlignment="1">
      <alignment horizontal="center" wrapText="1"/>
    </xf>
    <xf numFmtId="0" fontId="1" fillId="0" borderId="38" xfId="0" applyFont="1" applyBorder="1" applyAlignment="1">
      <alignment horizontal="center" wrapText="1"/>
    </xf>
    <xf numFmtId="0" fontId="1" fillId="0" borderId="39" xfId="0" applyFont="1" applyBorder="1" applyAlignment="1">
      <alignment horizontal="center" wrapText="1"/>
    </xf>
    <xf numFmtId="0" fontId="0" fillId="11" borderId="44" xfId="0" applyFill="1" applyBorder="1"/>
    <xf numFmtId="0" fontId="0" fillId="11" borderId="42" xfId="0" applyFill="1" applyBorder="1"/>
    <xf numFmtId="0" fontId="0" fillId="11" borderId="16" xfId="0" applyFill="1" applyBorder="1"/>
    <xf numFmtId="0" fontId="0" fillId="11" borderId="17" xfId="0" applyFill="1" applyBorder="1"/>
    <xf numFmtId="0" fontId="0" fillId="11" borderId="18" xfId="0" applyFill="1" applyBorder="1"/>
    <xf numFmtId="0" fontId="0" fillId="6" borderId="45" xfId="0" applyFill="1" applyBorder="1"/>
    <xf numFmtId="0" fontId="0" fillId="6" borderId="19" xfId="0" applyFill="1" applyBorder="1"/>
    <xf numFmtId="0" fontId="0" fillId="6" borderId="20" xfId="0" applyFill="1" applyBorder="1"/>
    <xf numFmtId="0" fontId="0" fillId="11" borderId="45" xfId="0" applyFill="1" applyBorder="1"/>
    <xf numFmtId="0" fontId="0" fillId="11" borderId="2" xfId="0" applyFill="1" applyBorder="1"/>
    <xf numFmtId="0" fontId="0" fillId="11" borderId="19" xfId="0" applyFill="1" applyBorder="1"/>
    <xf numFmtId="0" fontId="0" fillId="11" borderId="4" xfId="0" applyFill="1" applyBorder="1"/>
    <xf numFmtId="0" fontId="0" fillId="11" borderId="20" xfId="0" applyFill="1" applyBorder="1"/>
    <xf numFmtId="0" fontId="0" fillId="6" borderId="46" xfId="0" applyFill="1" applyBorder="1"/>
    <xf numFmtId="0" fontId="0" fillId="6" borderId="43" xfId="0" applyFill="1" applyBorder="1"/>
    <xf numFmtId="0" fontId="0" fillId="6" borderId="21" xfId="0" applyFill="1" applyBorder="1"/>
    <xf numFmtId="0" fontId="0" fillId="6" borderId="22" xfId="0" applyFill="1" applyBorder="1"/>
    <xf numFmtId="0" fontId="0" fillId="6" borderId="23" xfId="0" applyFill="1" applyBorder="1"/>
    <xf numFmtId="0" fontId="36" fillId="0" borderId="0" xfId="0" applyFont="1" applyAlignment="1">
      <alignment vertical="center" wrapText="1"/>
    </xf>
    <xf numFmtId="0" fontId="37" fillId="0" borderId="0" xfId="0" applyFont="1" applyAlignment="1">
      <alignment horizontal="left" wrapText="1"/>
    </xf>
    <xf numFmtId="0" fontId="7" fillId="0" borderId="17"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17"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22" xfId="0" applyFont="1" applyBorder="1" applyAlignment="1" applyProtection="1">
      <alignment horizontal="center" wrapText="1"/>
      <protection locked="0"/>
    </xf>
    <xf numFmtId="0" fontId="42" fillId="0" borderId="0" xfId="0" applyFont="1"/>
    <xf numFmtId="0" fontId="2" fillId="0" borderId="0" xfId="0" applyFont="1" applyAlignment="1" applyProtection="1">
      <alignment horizontal="left"/>
      <protection locked="0"/>
    </xf>
    <xf numFmtId="0" fontId="9" fillId="0" borderId="1"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3" xfId="0" applyFont="1" applyBorder="1" applyAlignment="1" applyProtection="1">
      <alignment horizontal="center" vertical="top"/>
      <protection locked="0"/>
    </xf>
    <xf numFmtId="0" fontId="0" fillId="0" borderId="4" xfId="0" applyBorder="1" applyAlignment="1" applyProtection="1">
      <alignment horizontal="center"/>
      <protection locked="0"/>
    </xf>
    <xf numFmtId="0" fontId="0" fillId="0" borderId="4" xfId="0" applyBorder="1" applyAlignment="1" applyProtection="1">
      <alignment horizontal="right"/>
      <protection locked="0"/>
    </xf>
    <xf numFmtId="0" fontId="14" fillId="0" borderId="0" xfId="0" applyFont="1" applyAlignment="1" applyProtection="1">
      <alignment vertical="top"/>
      <protection locked="0"/>
    </xf>
    <xf numFmtId="0" fontId="7" fillId="0" borderId="0" xfId="0" applyFont="1" applyAlignment="1" applyProtection="1">
      <alignment vertical="top"/>
      <protection locked="0"/>
    </xf>
    <xf numFmtId="0" fontId="8" fillId="0" borderId="0" xfId="0" applyFont="1" applyAlignment="1" applyProtection="1">
      <alignment vertical="top"/>
      <protection locked="0"/>
    </xf>
    <xf numFmtId="0" fontId="8" fillId="0" borderId="0" xfId="0" applyFont="1" applyAlignment="1" applyProtection="1">
      <alignment horizontal="left"/>
      <protection locked="0"/>
    </xf>
    <xf numFmtId="0" fontId="14" fillId="0" borderId="0" xfId="0" applyFont="1" applyProtection="1">
      <protection locked="0"/>
    </xf>
    <xf numFmtId="0" fontId="16" fillId="0" borderId="0" xfId="0" applyFont="1" applyProtection="1">
      <protection locked="0"/>
    </xf>
    <xf numFmtId="0" fontId="14" fillId="0" borderId="0" xfId="0" applyFont="1" applyAlignment="1" applyProtection="1">
      <alignment horizontal="left"/>
      <protection locked="0"/>
    </xf>
    <xf numFmtId="164" fontId="7" fillId="0" borderId="4" xfId="1" applyNumberFormat="1" applyFont="1" applyBorder="1" applyAlignment="1" applyProtection="1">
      <alignment horizontal="center" vertical="center"/>
      <protection locked="0"/>
    </xf>
    <xf numFmtId="164" fontId="0" fillId="0" borderId="4" xfId="0" applyNumberFormat="1" applyBorder="1" applyAlignment="1" applyProtection="1">
      <alignment horizontal="center"/>
      <protection locked="0"/>
    </xf>
    <xf numFmtId="0" fontId="2" fillId="0" borderId="0" xfId="0" applyFont="1" applyAlignment="1">
      <alignment horizontal="left" wrapText="1"/>
    </xf>
    <xf numFmtId="0" fontId="38" fillId="0" borderId="0" xfId="0" applyFont="1" applyAlignment="1">
      <alignment horizontal="center"/>
    </xf>
    <xf numFmtId="165" fontId="4" fillId="2" borderId="4" xfId="0" applyNumberFormat="1" applyFont="1" applyFill="1" applyBorder="1" applyAlignment="1">
      <alignment horizontal="center" wrapText="1"/>
    </xf>
    <xf numFmtId="0" fontId="21" fillId="0" borderId="0" xfId="0" applyFont="1" applyAlignment="1" applyProtection="1">
      <alignment horizontal="center"/>
      <protection locked="0"/>
    </xf>
    <xf numFmtId="49" fontId="44" fillId="0" borderId="0" xfId="0" applyNumberFormat="1" applyFont="1" applyAlignment="1">
      <alignment horizontal="left" wrapText="1"/>
    </xf>
    <xf numFmtId="0" fontId="45" fillId="0" borderId="0" xfId="0" applyFont="1" applyAlignment="1">
      <alignment wrapText="1"/>
    </xf>
    <xf numFmtId="0" fontId="33" fillId="0" borderId="4" xfId="0" applyFont="1" applyBorder="1" applyAlignment="1">
      <alignment vertical="center"/>
    </xf>
    <xf numFmtId="0" fontId="21" fillId="0" borderId="0" xfId="0" applyFont="1" applyProtection="1">
      <protection locked="0"/>
    </xf>
    <xf numFmtId="0" fontId="34" fillId="0" borderId="0" xfId="0" applyFont="1" applyAlignment="1">
      <alignment vertical="center" wrapText="1"/>
    </xf>
    <xf numFmtId="0" fontId="2" fillId="0" borderId="0" xfId="0" applyFont="1" applyAlignment="1" applyProtection="1">
      <alignment horizontal="center"/>
      <protection locked="0"/>
    </xf>
    <xf numFmtId="0" fontId="47" fillId="0" borderId="0" xfId="0" applyFont="1" applyProtection="1">
      <protection locked="0"/>
    </xf>
    <xf numFmtId="0" fontId="38" fillId="0" borderId="0" xfId="0" applyFont="1" applyAlignment="1" applyProtection="1">
      <alignment horizontal="center"/>
      <protection locked="0"/>
    </xf>
    <xf numFmtId="0" fontId="50" fillId="14" borderId="0" xfId="0" applyFont="1" applyFill="1" applyAlignment="1">
      <alignment vertical="center" wrapText="1"/>
    </xf>
    <xf numFmtId="0" fontId="51" fillId="0" borderId="0" xfId="0" applyFont="1"/>
    <xf numFmtId="1" fontId="1" fillId="0" borderId="4" xfId="0" applyNumberFormat="1" applyFont="1" applyBorder="1" applyAlignment="1">
      <alignment horizontal="center"/>
    </xf>
    <xf numFmtId="1" fontId="1" fillId="0" borderId="17" xfId="0" applyNumberFormat="1" applyFont="1" applyBorder="1" applyAlignment="1">
      <alignment horizontal="center"/>
    </xf>
    <xf numFmtId="0" fontId="0" fillId="0" borderId="18" xfId="0" applyBorder="1"/>
    <xf numFmtId="0" fontId="0" fillId="0" borderId="20" xfId="0" applyBorder="1"/>
    <xf numFmtId="1" fontId="1" fillId="0" borderId="22" xfId="0" applyNumberFormat="1" applyFont="1" applyBorder="1" applyAlignment="1">
      <alignment horizontal="center"/>
    </xf>
    <xf numFmtId="0" fontId="0" fillId="0" borderId="23" xfId="0" applyBorder="1"/>
    <xf numFmtId="1" fontId="1" fillId="0" borderId="15" xfId="0" applyNumberFormat="1" applyFont="1" applyBorder="1" applyAlignment="1">
      <alignment horizontal="center"/>
    </xf>
    <xf numFmtId="0" fontId="0" fillId="0" borderId="49" xfId="0" applyBorder="1"/>
    <xf numFmtId="0" fontId="34" fillId="0" borderId="0" xfId="0" applyFont="1" applyAlignment="1" applyProtection="1">
      <alignment horizontal="center" vertical="center"/>
      <protection locked="0"/>
    </xf>
    <xf numFmtId="0" fontId="48" fillId="14" borderId="0" xfId="0" applyFont="1" applyFill="1" applyAlignment="1">
      <alignment vertical="center" wrapText="1"/>
    </xf>
    <xf numFmtId="0" fontId="38" fillId="0" borderId="8" xfId="0" applyFont="1" applyBorder="1" applyAlignment="1">
      <alignment vertical="center"/>
    </xf>
    <xf numFmtId="0" fontId="1" fillId="6" borderId="0" xfId="0" quotePrefix="1" applyFont="1" applyFill="1" applyAlignment="1">
      <alignment vertical="top"/>
    </xf>
    <xf numFmtId="0" fontId="2" fillId="0" borderId="6" xfId="0" applyFont="1" applyBorder="1"/>
    <xf numFmtId="0" fontId="34" fillId="0" borderId="0" xfId="0" applyFont="1" applyAlignment="1">
      <alignment horizontal="right" wrapText="1"/>
    </xf>
    <xf numFmtId="0" fontId="55"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 fillId="0" borderId="0" xfId="0" applyFont="1" applyAlignment="1" applyProtection="1">
      <alignment horizontal="left"/>
      <protection locked="0"/>
    </xf>
    <xf numFmtId="0" fontId="1" fillId="0" borderId="0" xfId="0" applyFont="1" applyAlignment="1" applyProtection="1">
      <alignment horizontal="left" wrapText="1"/>
      <protection locked="0"/>
    </xf>
    <xf numFmtId="0" fontId="42" fillId="0" borderId="0" xfId="0" applyFont="1" applyAlignment="1">
      <alignment horizontal="left" vertical="center"/>
    </xf>
    <xf numFmtId="0" fontId="42" fillId="0" borderId="0" xfId="0" applyFont="1" applyAlignment="1">
      <alignment horizontal="left" vertical="center" wrapText="1"/>
    </xf>
    <xf numFmtId="0" fontId="0" fillId="0" borderId="0" xfId="0" applyAlignment="1" applyProtection="1">
      <alignment horizontal="right"/>
      <protection locked="0"/>
    </xf>
    <xf numFmtId="0" fontId="1" fillId="0" borderId="19" xfId="0" applyFont="1" applyBorder="1" applyAlignment="1">
      <alignment horizontal="center" wrapText="1"/>
    </xf>
    <xf numFmtId="0" fontId="0" fillId="0" borderId="19" xfId="0"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0" borderId="20" xfId="0" applyBorder="1" applyAlignment="1">
      <alignment horizontal="center"/>
    </xf>
    <xf numFmtId="0" fontId="0" fillId="0" borderId="19" xfId="0" applyBorder="1" applyProtection="1">
      <protection locked="0"/>
    </xf>
    <xf numFmtId="0" fontId="0" fillId="0" borderId="20" xfId="0" applyBorder="1" applyProtection="1">
      <protection locked="0"/>
    </xf>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54" fillId="0" borderId="19" xfId="0" applyFont="1" applyBorder="1"/>
    <xf numFmtId="0" fontId="14" fillId="0" borderId="19" xfId="0" applyFont="1" applyBorder="1" applyAlignment="1">
      <alignment vertical="top"/>
    </xf>
    <xf numFmtId="0" fontId="7" fillId="0" borderId="19" xfId="0" applyFont="1" applyBorder="1" applyAlignment="1">
      <alignment vertical="top"/>
    </xf>
    <xf numFmtId="0" fontId="7" fillId="0" borderId="50" xfId="0" applyFont="1" applyBorder="1" applyAlignment="1">
      <alignment horizontal="left" vertical="top"/>
    </xf>
    <xf numFmtId="0" fontId="0" fillId="0" borderId="19" xfId="0" applyBorder="1"/>
    <xf numFmtId="0" fontId="8" fillId="0" borderId="19" xfId="0" applyFont="1" applyBorder="1" applyAlignment="1">
      <alignment horizontal="left"/>
    </xf>
    <xf numFmtId="0" fontId="7" fillId="0" borderId="19" xfId="0" applyFont="1" applyBorder="1"/>
    <xf numFmtId="0" fontId="14" fillId="0" borderId="19" xfId="0" applyFont="1" applyBorder="1"/>
    <xf numFmtId="0" fontId="8" fillId="0" borderId="19" xfId="0" applyFont="1" applyBorder="1"/>
    <xf numFmtId="0" fontId="16" fillId="0" borderId="19" xfId="0" applyFont="1" applyBorder="1"/>
    <xf numFmtId="0" fontId="14" fillId="0" borderId="19" xfId="0" applyFont="1" applyBorder="1" applyProtection="1">
      <protection locked="0"/>
    </xf>
    <xf numFmtId="0" fontId="7" fillId="0" borderId="19" xfId="0" applyFont="1" applyBorder="1" applyProtection="1">
      <protection locked="0"/>
    </xf>
    <xf numFmtId="0" fontId="16" fillId="0" borderId="19" xfId="0" applyFont="1" applyBorder="1" applyProtection="1">
      <protection locked="0"/>
    </xf>
    <xf numFmtId="0" fontId="7" fillId="0" borderId="34" xfId="0" applyFont="1" applyBorder="1"/>
    <xf numFmtId="0" fontId="7" fillId="0" borderId="21" xfId="0" applyFont="1" applyBorder="1"/>
    <xf numFmtId="0" fontId="0" fillId="0" borderId="0" xfId="0" applyAlignment="1" applyProtection="1">
      <alignment horizontal="left" vertical="top" wrapText="1"/>
      <protection locked="0"/>
    </xf>
    <xf numFmtId="0" fontId="1" fillId="6" borderId="10" xfId="0" applyFont="1" applyFill="1" applyBorder="1" applyAlignment="1">
      <alignment horizontal="center" wrapText="1"/>
    </xf>
    <xf numFmtId="0" fontId="1" fillId="6" borderId="0" xfId="0" applyFont="1" applyFill="1" applyAlignment="1">
      <alignment horizontal="center"/>
    </xf>
    <xf numFmtId="0" fontId="2" fillId="6" borderId="0" xfId="0" applyFont="1" applyFill="1" applyAlignment="1">
      <alignment horizontal="left" vertical="top" wrapText="1"/>
    </xf>
    <xf numFmtId="0" fontId="5" fillId="0" borderId="0" xfId="0" applyFont="1" applyAlignment="1" applyProtection="1">
      <alignment wrapText="1"/>
      <protection locked="0"/>
    </xf>
    <xf numFmtId="0" fontId="5" fillId="0" borderId="6" xfId="0" applyFont="1" applyBorder="1" applyAlignment="1" applyProtection="1">
      <alignment wrapText="1"/>
      <protection locked="0"/>
    </xf>
    <xf numFmtId="9" fontId="0" fillId="3" borderId="4" xfId="1" applyFont="1" applyFill="1" applyBorder="1" applyAlignment="1">
      <alignment horizontal="center"/>
    </xf>
    <xf numFmtId="0" fontId="5" fillId="0" borderId="6" xfId="0" applyFont="1" applyBorder="1" applyProtection="1">
      <protection locked="0"/>
    </xf>
    <xf numFmtId="0" fontId="5" fillId="0" borderId="0" xfId="0" applyFont="1" applyProtection="1">
      <protection locked="0"/>
    </xf>
    <xf numFmtId="0" fontId="8" fillId="0" borderId="0" xfId="0" applyFont="1" applyAlignment="1">
      <alignment horizontal="center" vertical="center" wrapText="1"/>
    </xf>
    <xf numFmtId="0" fontId="1" fillId="0" borderId="31" xfId="0" applyFont="1" applyBorder="1" applyAlignment="1">
      <alignment horizontal="center"/>
    </xf>
    <xf numFmtId="0" fontId="8" fillId="0" borderId="37" xfId="0" applyFont="1" applyBorder="1"/>
    <xf numFmtId="0" fontId="8" fillId="0" borderId="38" xfId="0" applyFont="1" applyBorder="1" applyAlignment="1">
      <alignment horizontal="center"/>
    </xf>
    <xf numFmtId="0" fontId="8" fillId="0" borderId="38" xfId="0" applyFont="1" applyBorder="1" applyAlignment="1">
      <alignment horizontal="center" wrapText="1"/>
    </xf>
    <xf numFmtId="0" fontId="31" fillId="0" borderId="38" xfId="0" applyFont="1" applyBorder="1" applyAlignment="1">
      <alignment horizontal="center" wrapText="1"/>
    </xf>
    <xf numFmtId="0" fontId="8" fillId="0" borderId="39" xfId="0" applyFont="1" applyBorder="1" applyAlignment="1">
      <alignment horizontal="center" wrapText="1"/>
    </xf>
    <xf numFmtId="164" fontId="7" fillId="6" borderId="4" xfId="1" applyNumberFormat="1" applyFont="1" applyFill="1" applyBorder="1" applyAlignment="1">
      <alignment horizontal="center" vertical="center"/>
    </xf>
    <xf numFmtId="9" fontId="7" fillId="6" borderId="4" xfId="1" applyFont="1" applyFill="1" applyBorder="1" applyAlignment="1">
      <alignment horizontal="center" vertical="center"/>
    </xf>
    <xf numFmtId="0" fontId="54" fillId="0" borderId="0" xfId="0" applyFont="1" applyAlignment="1" applyProtection="1">
      <alignment vertical="center" wrapText="1"/>
      <protection locked="0"/>
    </xf>
    <xf numFmtId="0" fontId="28" fillId="0" borderId="0" xfId="0" applyFont="1" applyProtection="1">
      <protection locked="0"/>
    </xf>
    <xf numFmtId="0" fontId="8" fillId="0" borderId="0" xfId="0" applyFont="1" applyAlignment="1" applyProtection="1">
      <alignment vertical="center"/>
      <protection locked="0"/>
    </xf>
    <xf numFmtId="0" fontId="1" fillId="6" borderId="0" xfId="0" applyFont="1" applyFill="1"/>
    <xf numFmtId="0" fontId="2" fillId="6" borderId="0" xfId="0" applyFont="1" applyFill="1" applyAlignment="1">
      <alignment horizontal="right"/>
    </xf>
    <xf numFmtId="0" fontId="0" fillId="14" borderId="4" xfId="0" applyFill="1" applyBorder="1"/>
    <xf numFmtId="0" fontId="0" fillId="2" borderId="4" xfId="0" applyFill="1" applyBorder="1"/>
    <xf numFmtId="0" fontId="0" fillId="3" borderId="4" xfId="0" applyFill="1" applyBorder="1"/>
    <xf numFmtId="0" fontId="46" fillId="0" borderId="0" xfId="0" applyFont="1" applyAlignment="1">
      <alignment horizontal="center"/>
    </xf>
    <xf numFmtId="0" fontId="49" fillId="14" borderId="0" xfId="0" applyFont="1" applyFill="1" applyAlignment="1">
      <alignment horizontal="left" vertical="center" wrapText="1" indent="3"/>
    </xf>
    <xf numFmtId="0" fontId="63" fillId="14" borderId="0" xfId="0" applyFont="1" applyFill="1" applyAlignment="1">
      <alignment horizontal="center" vertical="center" wrapText="1"/>
    </xf>
    <xf numFmtId="0" fontId="5" fillId="0" borderId="0" xfId="0" applyFont="1" applyAlignment="1" applyProtection="1">
      <alignment vertical="top"/>
      <protection locked="0"/>
    </xf>
    <xf numFmtId="0" fontId="5" fillId="0" borderId="0" xfId="0" applyFont="1" applyAlignment="1" applyProtection="1">
      <alignment vertical="top" wrapText="1"/>
      <protection locked="0"/>
    </xf>
    <xf numFmtId="0" fontId="46" fillId="0" borderId="0" xfId="0" applyFont="1" applyProtection="1">
      <protection locked="0"/>
    </xf>
    <xf numFmtId="0" fontId="5" fillId="0" borderId="11" xfId="0" applyFont="1" applyBorder="1" applyProtection="1">
      <protection locked="0"/>
    </xf>
    <xf numFmtId="0" fontId="5" fillId="0" borderId="6" xfId="0" applyFont="1" applyBorder="1" applyAlignment="1" applyProtection="1">
      <alignment vertical="center"/>
      <protection locked="0"/>
    </xf>
    <xf numFmtId="0" fontId="5" fillId="0" borderId="0" xfId="0" applyFont="1" applyAlignment="1" applyProtection="1">
      <alignment vertical="center" wrapText="1"/>
      <protection locked="0"/>
    </xf>
    <xf numFmtId="0" fontId="64" fillId="14" borderId="0" xfId="0" applyFont="1" applyFill="1" applyAlignment="1">
      <alignment horizontal="center" vertical="center" wrapText="1"/>
    </xf>
    <xf numFmtId="0" fontId="22" fillId="0" borderId="0" xfId="0" applyFont="1" applyAlignment="1" applyProtection="1">
      <alignment vertical="top" wrapText="1"/>
      <protection locked="0"/>
    </xf>
    <xf numFmtId="0" fontId="22" fillId="0" borderId="6" xfId="0" applyFont="1" applyBorder="1" applyAlignment="1" applyProtection="1">
      <alignment vertical="top"/>
      <protection locked="0"/>
    </xf>
    <xf numFmtId="0" fontId="9" fillId="0" borderId="0" xfId="0" applyFont="1" applyAlignment="1" applyProtection="1">
      <alignment horizontal="left" vertical="top"/>
      <protection locked="0"/>
    </xf>
    <xf numFmtId="0" fontId="58" fillId="0" borderId="0" xfId="0" applyFont="1" applyProtection="1">
      <protection locked="0"/>
    </xf>
    <xf numFmtId="0" fontId="63" fillId="0" borderId="0" xfId="0" applyFont="1" applyAlignment="1">
      <alignment vertical="center" wrapText="1"/>
    </xf>
    <xf numFmtId="49" fontId="44" fillId="0" borderId="0" xfId="0" applyNumberFormat="1" applyFont="1" applyAlignment="1">
      <alignment wrapText="1"/>
    </xf>
    <xf numFmtId="0" fontId="50" fillId="0" borderId="0" xfId="0" applyFont="1" applyAlignment="1">
      <alignment vertical="center" wrapText="1"/>
    </xf>
    <xf numFmtId="0" fontId="49" fillId="0" borderId="0" xfId="0" applyFont="1" applyAlignment="1">
      <alignment vertical="center" wrapText="1"/>
    </xf>
    <xf numFmtId="0" fontId="59" fillId="0" borderId="0" xfId="0" applyFont="1" applyAlignment="1">
      <alignment vertical="center" wrapText="1"/>
    </xf>
    <xf numFmtId="0" fontId="66" fillId="14" borderId="0" xfId="0" quotePrefix="1" applyFont="1" applyFill="1"/>
    <xf numFmtId="0" fontId="36" fillId="0" borderId="0" xfId="0" quotePrefix="1" applyFont="1" applyProtection="1">
      <protection locked="0"/>
    </xf>
    <xf numFmtId="0" fontId="0" fillId="5" borderId="4" xfId="0" applyFill="1" applyBorder="1" applyAlignment="1" applyProtection="1">
      <alignment horizontal="left"/>
      <protection locked="0"/>
    </xf>
    <xf numFmtId="0" fontId="8" fillId="0" borderId="0" xfId="0" applyFont="1" applyAlignment="1" applyProtection="1">
      <alignment horizontal="center"/>
      <protection locked="0"/>
    </xf>
    <xf numFmtId="0" fontId="0" fillId="5" borderId="10" xfId="0" applyFill="1" applyBorder="1" applyAlignment="1" applyProtection="1">
      <alignment horizontal="center"/>
      <protection locked="0"/>
    </xf>
    <xf numFmtId="0" fontId="23" fillId="0" borderId="6" xfId="0" applyFont="1" applyBorder="1" applyAlignment="1" applyProtection="1">
      <alignment vertical="top"/>
      <protection locked="0"/>
    </xf>
    <xf numFmtId="0" fontId="4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Protection="1">
      <protection locked="0"/>
    </xf>
    <xf numFmtId="0" fontId="49" fillId="14" borderId="0" xfId="0" applyFont="1" applyFill="1" applyAlignment="1">
      <alignment horizontal="left" vertical="center" wrapText="1" indent="2"/>
    </xf>
    <xf numFmtId="0" fontId="49" fillId="14" borderId="0" xfId="0" applyFont="1" applyFill="1" applyAlignment="1">
      <alignment horizontal="left" vertical="top" wrapText="1" indent="3"/>
    </xf>
    <xf numFmtId="0" fontId="71" fillId="14" borderId="0" xfId="0" applyFont="1" applyFill="1" applyAlignment="1">
      <alignment horizontal="left" vertical="top" wrapText="1" indent="2"/>
    </xf>
    <xf numFmtId="0" fontId="48" fillId="14" borderId="0" xfId="0" applyFont="1" applyFill="1" applyAlignment="1">
      <alignment horizontal="left" vertical="top" wrapText="1" indent="2"/>
    </xf>
    <xf numFmtId="49" fontId="43" fillId="13" borderId="0" xfId="0" applyNumberFormat="1" applyFont="1" applyFill="1" applyAlignment="1">
      <alignment horizontal="center" wrapText="1"/>
    </xf>
    <xf numFmtId="0" fontId="49" fillId="14" borderId="0" xfId="0" applyFont="1" applyFill="1" applyAlignment="1">
      <alignment horizontal="left" vertical="top" wrapText="1" indent="10"/>
    </xf>
    <xf numFmtId="0" fontId="59" fillId="14" borderId="0" xfId="0" applyFont="1" applyFill="1" applyAlignment="1">
      <alignment horizontal="left" vertical="top" wrapText="1" indent="2"/>
    </xf>
    <xf numFmtId="0" fontId="49" fillId="14" borderId="0" xfId="0" applyFont="1" applyFill="1" applyAlignment="1">
      <alignment horizontal="left" vertical="top" wrapText="1" indent="4"/>
    </xf>
    <xf numFmtId="0" fontId="49" fillId="14" borderId="0" xfId="0" applyFont="1" applyFill="1" applyAlignment="1">
      <alignment horizontal="left" vertical="top" wrapText="1" indent="2"/>
    </xf>
    <xf numFmtId="0" fontId="49" fillId="14" borderId="0" xfId="0" applyFont="1" applyFill="1" applyAlignment="1">
      <alignment horizontal="left" vertical="top" wrapText="1" indent="6"/>
    </xf>
    <xf numFmtId="0" fontId="1" fillId="0" borderId="3" xfId="0" applyFont="1" applyBorder="1" applyAlignment="1">
      <alignment horizontal="center" wrapText="1"/>
    </xf>
    <xf numFmtId="0" fontId="4" fillId="7" borderId="1" xfId="0" applyFont="1" applyFill="1" applyBorder="1" applyAlignment="1" applyProtection="1">
      <alignment horizontal="center" wrapText="1"/>
      <protection locked="0"/>
    </xf>
    <xf numFmtId="0" fontId="8" fillId="0" borderId="15" xfId="0" applyFont="1" applyBorder="1" applyAlignment="1">
      <alignment horizontal="center" wrapText="1"/>
    </xf>
    <xf numFmtId="0" fontId="8" fillId="0" borderId="30" xfId="0" applyFont="1" applyBorder="1" applyAlignment="1">
      <alignment horizontal="left"/>
    </xf>
    <xf numFmtId="0" fontId="8" fillId="0" borderId="0" xfId="0" applyFont="1" applyAlignment="1">
      <alignment horizontal="left"/>
    </xf>
    <xf numFmtId="0" fontId="2" fillId="6" borderId="0" xfId="0" quotePrefix="1" applyFont="1" applyFill="1" applyAlignment="1">
      <alignment horizontal="left" vertical="top" wrapText="1"/>
    </xf>
    <xf numFmtId="166" fontId="0" fillId="6" borderId="4" xfId="0" applyNumberFormat="1" applyFill="1" applyBorder="1" applyAlignment="1">
      <alignment horizontal="center"/>
    </xf>
    <xf numFmtId="167" fontId="0" fillId="6" borderId="4" xfId="0" applyNumberFormat="1" applyFill="1" applyBorder="1" applyAlignment="1">
      <alignment horizontal="center"/>
    </xf>
    <xf numFmtId="167" fontId="0" fillId="6" borderId="4" xfId="0" quotePrefix="1" applyNumberFormat="1" applyFill="1" applyBorder="1" applyAlignment="1">
      <alignment horizontal="center" vertical="top" wrapText="1"/>
    </xf>
    <xf numFmtId="0" fontId="0" fillId="2" borderId="3" xfId="0" applyFill="1" applyBorder="1" applyAlignment="1">
      <alignment horizontal="center"/>
    </xf>
    <xf numFmtId="0" fontId="4" fillId="7" borderId="1" xfId="0" applyFont="1" applyFill="1" applyBorder="1" applyAlignment="1" applyProtection="1">
      <alignment wrapText="1"/>
      <protection locked="0"/>
    </xf>
    <xf numFmtId="0" fontId="8" fillId="4" borderId="10" xfId="0" applyFont="1" applyFill="1" applyBorder="1" applyAlignment="1">
      <alignment horizontal="center" wrapText="1"/>
    </xf>
    <xf numFmtId="0" fontId="7" fillId="4" borderId="10" xfId="0" applyFont="1" applyFill="1" applyBorder="1" applyAlignment="1">
      <alignment horizontal="center" wrapText="1"/>
    </xf>
    <xf numFmtId="0" fontId="7" fillId="5" borderId="10" xfId="0" applyFont="1" applyFill="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7" fillId="5" borderId="35" xfId="0" applyFont="1" applyFill="1" applyBorder="1" applyAlignment="1" applyProtection="1">
      <alignment horizontal="center" wrapText="1"/>
      <protection locked="0"/>
    </xf>
    <xf numFmtId="0" fontId="7" fillId="5" borderId="19" xfId="0" applyFont="1" applyFill="1" applyBorder="1" applyAlignment="1" applyProtection="1">
      <alignment horizontal="left"/>
      <protection locked="0"/>
    </xf>
    <xf numFmtId="0" fontId="8" fillId="4" borderId="15" xfId="0" applyFont="1" applyFill="1" applyBorder="1" applyAlignment="1">
      <alignment horizontal="center" wrapText="1"/>
    </xf>
    <xf numFmtId="0" fontId="7" fillId="4" borderId="15" xfId="0" applyFont="1" applyFill="1" applyBorder="1" applyAlignment="1">
      <alignment horizontal="center" wrapText="1"/>
    </xf>
    <xf numFmtId="0" fontId="7" fillId="5" borderId="15" xfId="0" applyFont="1" applyFill="1" applyBorder="1" applyAlignment="1" applyProtection="1">
      <alignment horizontal="center" wrapText="1"/>
      <protection locked="0"/>
    </xf>
    <xf numFmtId="0" fontId="7" fillId="0" borderId="15" xfId="0" applyFont="1" applyBorder="1" applyAlignment="1" applyProtection="1">
      <alignment horizontal="center" wrapText="1"/>
      <protection locked="0"/>
    </xf>
    <xf numFmtId="0" fontId="7" fillId="5" borderId="49" xfId="0" applyFont="1" applyFill="1" applyBorder="1" applyAlignment="1" applyProtection="1">
      <alignment horizontal="center" wrapText="1"/>
      <protection locked="0"/>
    </xf>
    <xf numFmtId="0" fontId="1" fillId="6" borderId="4" xfId="0" applyFont="1" applyFill="1" applyBorder="1"/>
    <xf numFmtId="0" fontId="7" fillId="0" borderId="1" xfId="0" applyFont="1" applyBorder="1" applyAlignment="1">
      <alignment horizontal="center" vertical="top"/>
    </xf>
    <xf numFmtId="0" fontId="0" fillId="0" borderId="34" xfId="0" applyBorder="1" applyAlignment="1">
      <alignment horizontal="center"/>
    </xf>
    <xf numFmtId="0" fontId="0" fillId="0" borderId="10" xfId="0" applyBorder="1" applyAlignment="1">
      <alignment horizontal="center"/>
    </xf>
    <xf numFmtId="0" fontId="0" fillId="0" borderId="33" xfId="0" applyBorder="1" applyAlignment="1">
      <alignment horizontal="center"/>
    </xf>
    <xf numFmtId="0" fontId="0" fillId="0" borderId="13" xfId="0"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0" borderId="1" xfId="0" applyBorder="1" applyAlignment="1">
      <alignment horizontal="center"/>
    </xf>
    <xf numFmtId="0" fontId="7" fillId="0" borderId="1" xfId="0" applyFont="1" applyBorder="1" applyAlignment="1">
      <alignment horizontal="center"/>
    </xf>
    <xf numFmtId="0" fontId="7" fillId="0" borderId="1" xfId="0" applyFont="1" applyBorder="1" applyAlignment="1" applyProtection="1">
      <alignment horizontal="center"/>
      <protection locked="0"/>
    </xf>
    <xf numFmtId="0" fontId="0" fillId="2" borderId="37" xfId="0" applyFill="1" applyBorder="1" applyAlignment="1">
      <alignment horizontal="center"/>
    </xf>
    <xf numFmtId="0" fontId="0" fillId="2" borderId="38" xfId="0" applyFill="1" applyBorder="1" applyAlignment="1">
      <alignment horizontal="center"/>
    </xf>
    <xf numFmtId="0" fontId="0" fillId="2" borderId="39" xfId="0" applyFill="1" applyBorder="1" applyAlignment="1">
      <alignment horizontal="center"/>
    </xf>
    <xf numFmtId="0" fontId="7" fillId="0" borderId="7" xfId="0" applyFont="1" applyBorder="1" applyAlignment="1">
      <alignment horizontal="center"/>
    </xf>
    <xf numFmtId="0" fontId="7" fillId="0" borderId="32" xfId="0" applyFont="1" applyBorder="1" applyAlignment="1">
      <alignment horizontal="center"/>
    </xf>
    <xf numFmtId="0" fontId="0" fillId="2" borderId="53" xfId="0" applyFill="1" applyBorder="1" applyAlignment="1">
      <alignment horizontal="center"/>
    </xf>
    <xf numFmtId="2" fontId="0" fillId="6" borderId="4" xfId="0" applyNumberFormat="1" applyFill="1" applyBorder="1" applyAlignment="1">
      <alignment horizontal="center"/>
    </xf>
    <xf numFmtId="167" fontId="4" fillId="2" borderId="4" xfId="0" applyNumberFormat="1" applyFont="1" applyFill="1" applyBorder="1" applyAlignment="1">
      <alignment horizontal="center" wrapText="1"/>
    </xf>
    <xf numFmtId="0" fontId="32" fillId="0" borderId="0" xfId="0" applyFont="1" applyProtection="1">
      <protection locked="0"/>
    </xf>
    <xf numFmtId="0" fontId="36" fillId="0" borderId="0" xfId="0" applyFont="1" applyAlignment="1" applyProtection="1">
      <alignment vertical="center" wrapText="1"/>
      <protection locked="0"/>
    </xf>
    <xf numFmtId="0" fontId="5" fillId="0" borderId="11" xfId="0" applyFont="1" applyBorder="1" applyAlignment="1">
      <alignment horizontal="left"/>
    </xf>
    <xf numFmtId="0" fontId="2" fillId="6" borderId="8" xfId="0" quotePrefix="1" applyFont="1" applyFill="1" applyBorder="1" applyAlignment="1">
      <alignment vertical="top" wrapText="1"/>
    </xf>
    <xf numFmtId="0" fontId="0" fillId="6" borderId="7" xfId="0" applyFill="1" applyBorder="1"/>
    <xf numFmtId="166" fontId="0" fillId="6" borderId="6" xfId="0" applyNumberFormat="1" applyFill="1" applyBorder="1" applyAlignment="1">
      <alignment horizontal="center"/>
    </xf>
    <xf numFmtId="0" fontId="0" fillId="6" borderId="13" xfId="0" applyFill="1" applyBorder="1" applyAlignment="1">
      <alignment horizontal="center" wrapText="1"/>
    </xf>
    <xf numFmtId="0" fontId="2" fillId="6" borderId="0" xfId="0" quotePrefix="1" applyFont="1" applyFill="1" applyAlignment="1">
      <alignment horizontal="left"/>
    </xf>
    <xf numFmtId="0" fontId="4" fillId="7" borderId="4" xfId="0" applyFont="1" applyFill="1" applyBorder="1" applyAlignment="1" applyProtection="1">
      <alignment horizontal="center" wrapText="1"/>
      <protection locked="0"/>
    </xf>
    <xf numFmtId="0" fontId="0" fillId="6" borderId="13" xfId="0" applyFill="1" applyBorder="1" applyAlignment="1">
      <alignment wrapText="1"/>
    </xf>
    <xf numFmtId="0" fontId="1" fillId="6" borderId="10" xfId="0" applyFont="1" applyFill="1" applyBorder="1" applyAlignment="1">
      <alignment wrapText="1"/>
    </xf>
    <xf numFmtId="0" fontId="1" fillId="6" borderId="4" xfId="0" applyFont="1" applyFill="1" applyBorder="1" applyAlignment="1">
      <alignment wrapText="1"/>
    </xf>
    <xf numFmtId="1" fontId="0" fillId="2" borderId="4" xfId="0" applyNumberFormat="1" applyFill="1" applyBorder="1" applyAlignment="1">
      <alignment horizontal="center" wrapText="1"/>
    </xf>
    <xf numFmtId="0" fontId="7" fillId="0" borderId="1" xfId="0" applyFont="1" applyBorder="1" applyAlignment="1">
      <alignment vertical="top"/>
    </xf>
    <xf numFmtId="0" fontId="8" fillId="0" borderId="1" xfId="0" applyFont="1" applyBorder="1" applyAlignment="1">
      <alignment horizontal="center"/>
    </xf>
    <xf numFmtId="0" fontId="7" fillId="0" borderId="1" xfId="0" applyFont="1" applyBorder="1"/>
    <xf numFmtId="0" fontId="8" fillId="0" borderId="1" xfId="0" applyFont="1" applyBorder="1"/>
    <xf numFmtId="0" fontId="0" fillId="0" borderId="1" xfId="0" applyBorder="1"/>
    <xf numFmtId="0" fontId="0" fillId="0" borderId="1" xfId="0" applyBorder="1" applyProtection="1">
      <protection locked="0"/>
    </xf>
    <xf numFmtId="0" fontId="0" fillId="0" borderId="1" xfId="0" applyBorder="1" applyAlignment="1">
      <alignment horizontal="left"/>
    </xf>
    <xf numFmtId="0" fontId="1" fillId="5" borderId="54" xfId="0" applyFont="1" applyFill="1" applyBorder="1" applyAlignment="1" applyProtection="1">
      <alignment horizontal="center" wrapText="1"/>
      <protection locked="0"/>
    </xf>
    <xf numFmtId="0" fontId="1" fillId="5" borderId="10" xfId="0" applyFont="1" applyFill="1" applyBorder="1" applyAlignment="1" applyProtection="1">
      <alignment horizontal="center" wrapText="1"/>
      <protection locked="0"/>
    </xf>
    <xf numFmtId="0" fontId="1" fillId="5" borderId="7" xfId="0" applyFont="1" applyFill="1" applyBorder="1" applyAlignment="1" applyProtection="1">
      <alignment horizontal="center"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 fillId="6" borderId="13" xfId="0" applyFont="1" applyFill="1" applyBorder="1" applyAlignment="1">
      <alignment horizontal="center" wrapText="1"/>
    </xf>
    <xf numFmtId="49" fontId="68" fillId="13" borderId="0" xfId="0" applyNumberFormat="1" applyFont="1" applyFill="1" applyAlignment="1">
      <alignment horizontal="left"/>
    </xf>
    <xf numFmtId="0" fontId="31" fillId="0" borderId="4" xfId="0" applyFont="1" applyBorder="1" applyAlignment="1">
      <alignment horizontal="center" vertical="center" wrapText="1"/>
    </xf>
    <xf numFmtId="0" fontId="1" fillId="6" borderId="6" xfId="0" applyFont="1" applyFill="1" applyBorder="1" applyAlignment="1">
      <alignment horizontal="center"/>
    </xf>
    <xf numFmtId="0" fontId="1" fillId="6" borderId="10" xfId="0" applyFont="1" applyFill="1" applyBorder="1"/>
    <xf numFmtId="0" fontId="1" fillId="6" borderId="5" xfId="0" applyFont="1" applyFill="1" applyBorder="1" applyAlignment="1">
      <alignment horizontal="center"/>
    </xf>
    <xf numFmtId="0" fontId="1" fillId="6" borderId="13" xfId="0" applyFont="1" applyFill="1" applyBorder="1"/>
    <xf numFmtId="0" fontId="1" fillId="6" borderId="12" xfId="0" applyFont="1" applyFill="1" applyBorder="1" applyAlignment="1">
      <alignment horizontal="center"/>
    </xf>
    <xf numFmtId="0" fontId="2" fillId="6" borderId="0" xfId="0" quotePrefix="1" applyFont="1" applyFill="1" applyAlignment="1">
      <alignment vertical="top"/>
    </xf>
    <xf numFmtId="0" fontId="0" fillId="5" borderId="3" xfId="0" applyFill="1" applyBorder="1" applyAlignment="1" applyProtection="1">
      <alignment horizontal="center"/>
      <protection locked="0"/>
    </xf>
    <xf numFmtId="0" fontId="1" fillId="0" borderId="1" xfId="0" applyFont="1" applyBorder="1" applyAlignment="1">
      <alignment horizontal="center" wrapText="1"/>
    </xf>
    <xf numFmtId="0" fontId="67" fillId="14" borderId="6" xfId="0" applyFont="1" applyFill="1" applyBorder="1" applyAlignment="1">
      <alignment horizontal="left" wrapText="1"/>
    </xf>
    <xf numFmtId="0" fontId="8" fillId="0" borderId="0" xfId="0" applyFont="1" applyAlignment="1">
      <alignment horizontal="left" vertical="center"/>
    </xf>
    <xf numFmtId="0" fontId="66" fillId="14" borderId="0" xfId="0" quotePrefix="1" applyFont="1" applyFill="1" applyAlignment="1">
      <alignment horizontal="left"/>
    </xf>
    <xf numFmtId="0" fontId="0" fillId="6" borderId="0" xfId="0" applyFill="1" applyAlignment="1">
      <alignment horizontal="left" vertical="top" wrapText="1"/>
    </xf>
    <xf numFmtId="0" fontId="4" fillId="5" borderId="1" xfId="0" applyFont="1" applyFill="1" applyBorder="1" applyAlignment="1" applyProtection="1">
      <alignment wrapText="1"/>
      <protection locked="0"/>
    </xf>
    <xf numFmtId="0" fontId="5" fillId="0" borderId="0" xfId="0" applyFont="1" applyAlignment="1" applyProtection="1">
      <alignment vertical="center"/>
      <protection locked="0"/>
    </xf>
    <xf numFmtId="0" fontId="20" fillId="6" borderId="0" xfId="0" applyFont="1" applyFill="1"/>
    <xf numFmtId="0" fontId="35" fillId="6" borderId="0" xfId="0" applyFont="1" applyFill="1"/>
    <xf numFmtId="0" fontId="0" fillId="6" borderId="0" xfId="0" applyFill="1" applyAlignment="1">
      <alignment vertical="top" wrapText="1"/>
    </xf>
    <xf numFmtId="0" fontId="5" fillId="14" borderId="6" xfId="0" applyFont="1" applyFill="1" applyBorder="1" applyAlignment="1">
      <alignment wrapText="1"/>
    </xf>
    <xf numFmtId="0" fontId="5" fillId="14" borderId="0" xfId="0" applyFont="1" applyFill="1" applyAlignment="1">
      <alignment wrapText="1"/>
    </xf>
    <xf numFmtId="0" fontId="8" fillId="0" borderId="30" xfId="0" applyFont="1" applyBorder="1"/>
    <xf numFmtId="0" fontId="8" fillId="0" borderId="0" xfId="0" applyFont="1"/>
    <xf numFmtId="0" fontId="7" fillId="0" borderId="0" xfId="0" applyFont="1" applyAlignment="1">
      <alignment horizontal="center"/>
    </xf>
    <xf numFmtId="0" fontId="7" fillId="0" borderId="56" xfId="0" applyFont="1" applyBorder="1"/>
    <xf numFmtId="0" fontId="7" fillId="0" borderId="55" xfId="0" applyFont="1" applyBorder="1" applyAlignment="1">
      <alignment horizontal="center"/>
    </xf>
    <xf numFmtId="0" fontId="8" fillId="0" borderId="57" xfId="0" applyFont="1" applyBorder="1" applyAlignment="1">
      <alignment horizontal="center" wrapText="1"/>
    </xf>
    <xf numFmtId="0" fontId="7" fillId="0" borderId="30" xfId="0" applyFont="1" applyBorder="1" applyProtection="1">
      <protection locked="0"/>
    </xf>
    <xf numFmtId="0" fontId="7" fillId="0" borderId="40" xfId="0" applyFont="1" applyBorder="1" applyAlignment="1" applyProtection="1">
      <alignment horizontal="center"/>
      <protection locked="0"/>
    </xf>
    <xf numFmtId="0" fontId="66" fillId="0" borderId="0" xfId="0" quotePrefix="1" applyFont="1"/>
    <xf numFmtId="0" fontId="0" fillId="5" borderId="53"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7" fillId="0" borderId="0" xfId="0" applyFont="1" applyAlignment="1" applyProtection="1">
      <alignment horizontal="left"/>
      <protection locked="0"/>
    </xf>
    <xf numFmtId="0" fontId="8" fillId="6" borderId="3" xfId="0" applyFont="1" applyFill="1" applyBorder="1" applyAlignment="1">
      <alignment horizontal="center" wrapText="1"/>
    </xf>
    <xf numFmtId="0" fontId="8" fillId="6" borderId="4" xfId="0" applyFont="1" applyFill="1" applyBorder="1"/>
    <xf numFmtId="0" fontId="8" fillId="6" borderId="4" xfId="0" applyFont="1" applyFill="1" applyBorder="1" applyAlignment="1">
      <alignment horizontal="center"/>
    </xf>
    <xf numFmtId="0" fontId="0" fillId="5" borderId="20" xfId="0" applyFill="1" applyBorder="1"/>
    <xf numFmtId="0" fontId="0" fillId="5" borderId="23" xfId="0" applyFill="1" applyBorder="1"/>
    <xf numFmtId="0" fontId="8" fillId="6" borderId="4" xfId="0" applyFont="1" applyFill="1" applyBorder="1" applyAlignment="1">
      <alignment horizontal="center" wrapText="1"/>
    </xf>
    <xf numFmtId="0" fontId="8" fillId="0" borderId="30" xfId="0" applyFont="1" applyBorder="1" applyAlignment="1">
      <alignment vertical="center"/>
    </xf>
    <xf numFmtId="0" fontId="8" fillId="0" borderId="0" xfId="0" applyFont="1" applyAlignment="1">
      <alignment vertical="center"/>
    </xf>
    <xf numFmtId="0" fontId="8" fillId="6" borderId="12" xfId="0" applyFont="1" applyFill="1" applyBorder="1" applyAlignment="1">
      <alignment horizontal="center"/>
    </xf>
    <xf numFmtId="0" fontId="8" fillId="6" borderId="13" xfId="0" applyFont="1" applyFill="1" applyBorder="1" applyAlignment="1">
      <alignment horizontal="center"/>
    </xf>
    <xf numFmtId="0" fontId="1" fillId="0" borderId="4" xfId="0" applyFont="1" applyBorder="1" applyAlignment="1">
      <alignment horizontal="center" vertical="center" wrapText="1"/>
    </xf>
    <xf numFmtId="1" fontId="7" fillId="5" borderId="13" xfId="0" applyNumberFormat="1" applyFont="1" applyFill="1" applyBorder="1" applyAlignment="1" applyProtection="1">
      <alignment horizontal="center"/>
      <protection locked="0"/>
    </xf>
    <xf numFmtId="1" fontId="7" fillId="5" borderId="4" xfId="0" applyNumberFormat="1" applyFont="1" applyFill="1" applyBorder="1" applyAlignment="1" applyProtection="1">
      <alignment horizontal="center"/>
      <protection locked="0"/>
    </xf>
    <xf numFmtId="1" fontId="7" fillId="5" borderId="22" xfId="0" applyNumberFormat="1" applyFont="1" applyFill="1" applyBorder="1" applyAlignment="1" applyProtection="1">
      <alignment horizontal="center"/>
      <protection locked="0"/>
    </xf>
    <xf numFmtId="1" fontId="7" fillId="5" borderId="17" xfId="0" applyNumberFormat="1" applyFont="1" applyFill="1" applyBorder="1" applyAlignment="1" applyProtection="1">
      <alignment horizontal="center"/>
      <protection locked="0"/>
    </xf>
    <xf numFmtId="0" fontId="75" fillId="12" borderId="0" xfId="0" applyFont="1" applyFill="1" applyAlignment="1">
      <alignment horizontal="center" vertical="center"/>
    </xf>
    <xf numFmtId="49" fontId="48" fillId="13" borderId="0" xfId="0" applyNumberFormat="1" applyFont="1" applyFill="1" applyAlignment="1">
      <alignment horizontal="left" wrapText="1"/>
    </xf>
    <xf numFmtId="0" fontId="1" fillId="0" borderId="0" xfId="0" applyFont="1" applyAlignment="1">
      <alignment horizontal="center"/>
    </xf>
    <xf numFmtId="0" fontId="5" fillId="0" borderId="0" xfId="0" applyFont="1" applyAlignment="1">
      <alignment horizontal="center"/>
    </xf>
    <xf numFmtId="0" fontId="1" fillId="0" borderId="0" xfId="0" quotePrefix="1" applyFont="1" applyAlignment="1">
      <alignment horizontal="center"/>
    </xf>
    <xf numFmtId="0" fontId="2" fillId="0" borderId="4" xfId="0" applyFont="1" applyBorder="1" applyAlignment="1">
      <alignment horizontal="center"/>
    </xf>
    <xf numFmtId="0" fontId="1" fillId="14" borderId="7" xfId="0" applyFont="1" applyFill="1" applyBorder="1" applyAlignment="1">
      <alignment horizontal="center" wrapText="1"/>
    </xf>
    <xf numFmtId="0" fontId="1" fillId="14" borderId="6" xfId="0" applyFont="1" applyFill="1" applyBorder="1" applyAlignment="1">
      <alignment horizontal="center" wrapText="1"/>
    </xf>
    <xf numFmtId="0" fontId="1" fillId="14" borderId="5" xfId="0" applyFont="1" applyFill="1" applyBorder="1" applyAlignment="1">
      <alignment horizontal="center" wrapText="1"/>
    </xf>
    <xf numFmtId="0" fontId="1" fillId="14" borderId="14" xfId="0" applyFont="1" applyFill="1" applyBorder="1" applyAlignment="1">
      <alignment horizontal="center" wrapText="1"/>
    </xf>
    <xf numFmtId="0" fontId="1" fillId="14" borderId="11" xfId="0" applyFont="1" applyFill="1" applyBorder="1" applyAlignment="1">
      <alignment horizontal="center" wrapText="1"/>
    </xf>
    <xf numFmtId="0" fontId="1" fillId="14" borderId="12" xfId="0" applyFont="1" applyFill="1" applyBorder="1" applyAlignment="1">
      <alignment horizontal="center" wrapText="1"/>
    </xf>
    <xf numFmtId="0" fontId="0" fillId="5" borderId="4" xfId="0" applyFill="1" applyBorder="1" applyAlignment="1" applyProtection="1">
      <alignment horizontal="left"/>
      <protection locked="0"/>
    </xf>
    <xf numFmtId="0" fontId="0" fillId="5" borderId="4" xfId="0" applyFill="1" applyBorder="1" applyAlignment="1" applyProtection="1">
      <alignment horizontal="center"/>
      <protection locked="0"/>
    </xf>
    <xf numFmtId="0" fontId="26" fillId="0" borderId="4" xfId="0" applyFont="1" applyBorder="1" applyAlignment="1">
      <alignment horizontal="center" vertical="center"/>
    </xf>
    <xf numFmtId="0" fontId="1" fillId="0" borderId="4" xfId="0" applyFont="1" applyBorder="1" applyAlignment="1">
      <alignment horizontal="center"/>
    </xf>
    <xf numFmtId="0" fontId="0" fillId="0" borderId="8" xfId="0" applyBorder="1" applyAlignment="1">
      <alignment horizontal="left"/>
    </xf>
    <xf numFmtId="0" fontId="0" fillId="0" borderId="0" xfId="0" applyAlignment="1">
      <alignment horizontal="left"/>
    </xf>
    <xf numFmtId="0" fontId="0" fillId="0" borderId="8" xfId="0" applyBorder="1" applyAlignment="1">
      <alignment horizontal="left" vertical="top"/>
    </xf>
    <xf numFmtId="0" fontId="0" fillId="0" borderId="0" xfId="0" applyAlignment="1">
      <alignment horizontal="left" vertical="top"/>
    </xf>
    <xf numFmtId="0" fontId="52" fillId="14" borderId="19" xfId="0" applyFont="1" applyFill="1" applyBorder="1" applyAlignment="1">
      <alignment horizontal="center" wrapText="1"/>
    </xf>
    <xf numFmtId="0" fontId="52" fillId="14" borderId="4" xfId="0" applyFont="1" applyFill="1" applyBorder="1" applyAlignment="1">
      <alignment horizontal="center" wrapText="1"/>
    </xf>
    <xf numFmtId="0" fontId="52" fillId="14" borderId="1" xfId="0" applyFont="1" applyFill="1" applyBorder="1" applyAlignment="1">
      <alignment horizontal="center" wrapText="1"/>
    </xf>
    <xf numFmtId="0" fontId="1" fillId="0" borderId="16" xfId="0" applyFont="1" applyBorder="1" applyAlignment="1">
      <alignment horizontal="center"/>
    </xf>
    <xf numFmtId="0" fontId="1" fillId="0" borderId="17"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18" xfId="0" applyFont="1" applyBorder="1" applyAlignment="1">
      <alignment horizontal="center"/>
    </xf>
    <xf numFmtId="0" fontId="1" fillId="0" borderId="18" xfId="0" applyFont="1" applyBorder="1" applyAlignment="1">
      <alignment horizontal="center" wrapText="1"/>
    </xf>
    <xf numFmtId="0" fontId="1" fillId="0" borderId="20" xfId="0" applyFont="1" applyBorder="1" applyAlignment="1">
      <alignment horizontal="center" wrapText="1"/>
    </xf>
    <xf numFmtId="0" fontId="22" fillId="14" borderId="0" xfId="0" applyFont="1" applyFill="1" applyAlignment="1">
      <alignment horizontal="left" vertical="top" wrapText="1"/>
    </xf>
    <xf numFmtId="0" fontId="9" fillId="0" borderId="4" xfId="0" applyFont="1" applyBorder="1" applyAlignment="1">
      <alignment horizontal="left" vertical="top"/>
    </xf>
    <xf numFmtId="0" fontId="0" fillId="5" borderId="1" xfId="0"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0" borderId="4" xfId="0" applyBorder="1" applyAlignment="1">
      <alignment horizontal="center" vertical="center"/>
    </xf>
    <xf numFmtId="0" fontId="0" fillId="0" borderId="4" xfId="0" applyBorder="1" applyAlignment="1">
      <alignment horizontal="left"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5" fillId="14" borderId="6" xfId="0" applyFont="1" applyFill="1" applyBorder="1" applyAlignment="1">
      <alignment horizontal="left" vertical="center"/>
    </xf>
    <xf numFmtId="0" fontId="5" fillId="14" borderId="0" xfId="0" applyFont="1" applyFill="1" applyAlignment="1">
      <alignment horizontal="left"/>
    </xf>
    <xf numFmtId="0" fontId="0" fillId="5" borderId="1" xfId="0" applyFill="1" applyBorder="1" applyAlignment="1" applyProtection="1">
      <alignment horizontal="center" wrapText="1"/>
      <protection locked="0"/>
    </xf>
    <xf numFmtId="0" fontId="0" fillId="5" borderId="2" xfId="0" applyFill="1" applyBorder="1" applyAlignment="1" applyProtection="1">
      <alignment horizontal="center" wrapText="1"/>
      <protection locked="0"/>
    </xf>
    <xf numFmtId="0" fontId="0" fillId="5" borderId="3" xfId="0" applyFill="1" applyBorder="1" applyAlignment="1" applyProtection="1">
      <alignment horizontal="center" wrapText="1"/>
      <protection locked="0"/>
    </xf>
    <xf numFmtId="0" fontId="22" fillId="14" borderId="0" xfId="0" applyFont="1" applyFill="1" applyAlignment="1">
      <alignment horizontal="left" vertical="top"/>
    </xf>
    <xf numFmtId="0" fontId="0" fillId="0" borderId="4" xfId="0"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22" fillId="14" borderId="6" xfId="0" applyFont="1" applyFill="1" applyBorder="1" applyAlignment="1">
      <alignment horizontal="left" vertical="top"/>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1"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7" borderId="1" xfId="0" applyFill="1" applyBorder="1" applyAlignment="1" applyProtection="1">
      <alignment horizontal="center" wrapText="1"/>
      <protection locked="0"/>
    </xf>
    <xf numFmtId="0" fontId="0" fillId="7" borderId="2" xfId="0" applyFill="1" applyBorder="1" applyAlignment="1" applyProtection="1">
      <alignment horizontal="center" wrapText="1"/>
      <protection locked="0"/>
    </xf>
    <xf numFmtId="0" fontId="0" fillId="7" borderId="3" xfId="0" applyFill="1" applyBorder="1" applyAlignment="1" applyProtection="1">
      <alignment horizontal="center" wrapText="1"/>
      <protection locked="0"/>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4" xfId="0" applyFont="1" applyBorder="1" applyAlignment="1">
      <alignment horizontal="center" wrapText="1"/>
    </xf>
    <xf numFmtId="0" fontId="1" fillId="0" borderId="12" xfId="0" applyFont="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4" fillId="2" borderId="4" xfId="0" applyFont="1" applyFill="1" applyBorder="1" applyAlignment="1">
      <alignment horizontal="center" vertical="center"/>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5" fillId="14" borderId="6" xfId="0" applyFont="1" applyFill="1" applyBorder="1" applyAlignment="1">
      <alignment horizontal="left" vertical="center" wrapText="1"/>
    </xf>
    <xf numFmtId="0" fontId="5" fillId="14" borderId="0" xfId="0" applyFont="1" applyFill="1" applyAlignment="1">
      <alignment horizontal="left" vertical="center" wrapText="1"/>
    </xf>
    <xf numFmtId="0" fontId="4" fillId="7" borderId="1" xfId="0" applyFont="1" applyFill="1" applyBorder="1" applyAlignment="1" applyProtection="1">
      <alignment horizontal="left" wrapText="1"/>
      <protection locked="0"/>
    </xf>
    <xf numFmtId="0" fontId="4" fillId="7" borderId="3" xfId="0" applyFont="1" applyFill="1" applyBorder="1" applyAlignment="1" applyProtection="1">
      <alignment horizontal="left"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1"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5" fillId="14" borderId="6" xfId="0" applyFont="1" applyFill="1" applyBorder="1" applyAlignment="1">
      <alignment horizontal="left" vertical="top" wrapText="1"/>
    </xf>
    <xf numFmtId="0" fontId="5" fillId="14" borderId="0" xfId="0" applyFont="1" applyFill="1" applyBorder="1" applyAlignment="1">
      <alignment horizontal="left" vertical="top" wrapText="1"/>
    </xf>
    <xf numFmtId="0" fontId="5" fillId="14" borderId="0" xfId="0" applyFont="1" applyFill="1" applyAlignment="1">
      <alignment horizontal="left" vertical="top" wrapText="1"/>
    </xf>
    <xf numFmtId="0" fontId="1" fillId="0" borderId="4" xfId="0" applyFont="1" applyBorder="1" applyAlignment="1">
      <alignment horizontal="center" wrapText="1"/>
    </xf>
    <xf numFmtId="0" fontId="4" fillId="5" borderId="1" xfId="0" applyFont="1" applyFill="1" applyBorder="1" applyAlignment="1" applyProtection="1">
      <alignment horizontal="left" wrapText="1"/>
      <protection locked="0"/>
    </xf>
    <xf numFmtId="0" fontId="4" fillId="5" borderId="2" xfId="0" applyFont="1" applyFill="1" applyBorder="1" applyAlignment="1" applyProtection="1">
      <alignment horizontal="left" wrapText="1"/>
      <protection locked="0"/>
    </xf>
    <xf numFmtId="0" fontId="4" fillId="5" borderId="3" xfId="0" applyFont="1" applyFill="1" applyBorder="1" applyAlignment="1" applyProtection="1">
      <alignment horizontal="left" wrapText="1"/>
      <protection locked="0"/>
    </xf>
    <xf numFmtId="0" fontId="4" fillId="7" borderId="1" xfId="0" applyFont="1" applyFill="1" applyBorder="1" applyAlignment="1" applyProtection="1">
      <alignment horizontal="left"/>
      <protection locked="0"/>
    </xf>
    <xf numFmtId="0" fontId="4" fillId="7" borderId="3" xfId="0" applyFont="1" applyFill="1" applyBorder="1" applyAlignment="1" applyProtection="1">
      <alignment horizontal="left"/>
      <protection locked="0"/>
    </xf>
    <xf numFmtId="0" fontId="4" fillId="5" borderId="1" xfId="0" applyFont="1" applyFill="1" applyBorder="1" applyAlignment="1" applyProtection="1">
      <alignment horizontal="left" vertical="top" wrapText="1"/>
      <protection locked="0"/>
    </xf>
    <xf numFmtId="0" fontId="4" fillId="5" borderId="2"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1" fillId="0" borderId="1" xfId="0" applyFont="1" applyBorder="1" applyAlignment="1">
      <alignment horizontal="right"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4" fillId="5" borderId="4" xfId="0" applyFont="1" applyFill="1" applyBorder="1" applyAlignment="1" applyProtection="1">
      <alignment horizontal="left" wrapText="1"/>
      <protection locked="0"/>
    </xf>
    <xf numFmtId="0" fontId="5" fillId="0" borderId="11"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wrapText="1"/>
    </xf>
    <xf numFmtId="0" fontId="1" fillId="0" borderId="13" xfId="0" applyFont="1" applyBorder="1" applyAlignment="1">
      <alignment horizontal="center" wrapText="1"/>
    </xf>
    <xf numFmtId="0" fontId="25" fillId="0" borderId="1" xfId="0" applyFont="1" applyBorder="1" applyAlignment="1">
      <alignment horizontal="center"/>
    </xf>
    <xf numFmtId="0" fontId="25" fillId="0" borderId="2" xfId="0" applyFont="1" applyBorder="1" applyAlignment="1">
      <alignment horizontal="center"/>
    </xf>
    <xf numFmtId="0" fontId="1" fillId="0" borderId="2" xfId="0" applyFont="1" applyBorder="1" applyAlignment="1">
      <alignment horizontal="right"/>
    </xf>
    <xf numFmtId="0" fontId="1" fillId="0" borderId="3" xfId="0" applyFont="1" applyBorder="1" applyAlignment="1">
      <alignment horizontal="right"/>
    </xf>
    <xf numFmtId="0" fontId="4" fillId="5" borderId="10" xfId="0" applyFont="1" applyFill="1" applyBorder="1" applyAlignment="1" applyProtection="1">
      <alignment horizontal="left"/>
      <protection locked="0"/>
    </xf>
    <xf numFmtId="0" fontId="70" fillId="5" borderId="4" xfId="0" applyFont="1" applyFill="1" applyBorder="1" applyAlignment="1" applyProtection="1">
      <alignment horizontal="left" wrapText="1"/>
      <protection locked="0"/>
    </xf>
    <xf numFmtId="0" fontId="0" fillId="5" borderId="2" xfId="0" applyFill="1" applyBorder="1" applyAlignment="1" applyProtection="1">
      <alignment horizontal="center"/>
      <protection locked="0"/>
    </xf>
    <xf numFmtId="0" fontId="0" fillId="2" borderId="1" xfId="0" applyFill="1" applyBorder="1" applyAlignment="1">
      <alignment horizontal="center"/>
    </xf>
    <xf numFmtId="0" fontId="0" fillId="2" borderId="3" xfId="0" applyFill="1" applyBorder="1" applyAlignment="1">
      <alignment horizontal="center"/>
    </xf>
    <xf numFmtId="0" fontId="1" fillId="0" borderId="1" xfId="0" applyFont="1" applyBorder="1" applyAlignment="1">
      <alignment horizontal="right"/>
    </xf>
    <xf numFmtId="0" fontId="0" fillId="7" borderId="1" xfId="0" applyFill="1" applyBorder="1" applyAlignment="1" applyProtection="1">
      <alignment horizontal="left" wrapText="1"/>
      <protection locked="0"/>
    </xf>
    <xf numFmtId="0" fontId="0" fillId="7" borderId="3" xfId="0" applyFill="1" applyBorder="1" applyAlignment="1" applyProtection="1">
      <alignment horizontal="left" wrapText="1"/>
      <protection locked="0"/>
    </xf>
    <xf numFmtId="0" fontId="5" fillId="14" borderId="6" xfId="0" applyFont="1" applyFill="1" applyBorder="1" applyAlignment="1">
      <alignment horizontal="left" wrapText="1"/>
    </xf>
    <xf numFmtId="0" fontId="5" fillId="14" borderId="0" xfId="0" applyFont="1" applyFill="1" applyAlignment="1">
      <alignment horizontal="left" wrapText="1"/>
    </xf>
    <xf numFmtId="0" fontId="0" fillId="5" borderId="4" xfId="0" applyFill="1" applyBorder="1" applyAlignment="1" applyProtection="1">
      <alignment horizontal="left" wrapText="1"/>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0" fontId="2" fillId="0" borderId="0" xfId="0" applyFont="1" applyAlignment="1">
      <alignment horizontal="right"/>
    </xf>
    <xf numFmtId="0" fontId="34" fillId="14" borderId="7" xfId="0" applyFont="1" applyFill="1" applyBorder="1" applyAlignment="1">
      <alignment horizontal="center" vertical="center" wrapText="1"/>
    </xf>
    <xf numFmtId="0" fontId="34" fillId="14" borderId="6" xfId="0" applyFont="1" applyFill="1" applyBorder="1" applyAlignment="1">
      <alignment horizontal="center" vertical="center"/>
    </xf>
    <xf numFmtId="0" fontId="34" fillId="14" borderId="5" xfId="0" applyFont="1" applyFill="1" applyBorder="1" applyAlignment="1">
      <alignment horizontal="center" vertical="center"/>
    </xf>
    <xf numFmtId="0" fontId="34" fillId="14" borderId="14" xfId="0" applyFont="1" applyFill="1" applyBorder="1" applyAlignment="1">
      <alignment horizontal="center" vertical="center"/>
    </xf>
    <xf numFmtId="0" fontId="34" fillId="14" borderId="11" xfId="0" applyFont="1" applyFill="1" applyBorder="1" applyAlignment="1">
      <alignment horizontal="center" vertical="center"/>
    </xf>
    <xf numFmtId="0" fontId="34" fillId="14" borderId="12" xfId="0" applyFont="1" applyFill="1" applyBorder="1" applyAlignment="1">
      <alignment horizontal="center" vertical="center"/>
    </xf>
    <xf numFmtId="0" fontId="34" fillId="7" borderId="4" xfId="0" applyFont="1" applyFill="1" applyBorder="1" applyAlignment="1" applyProtection="1">
      <alignment horizontal="center" vertical="center"/>
      <protection locked="0"/>
    </xf>
    <xf numFmtId="0" fontId="34" fillId="2" borderId="4" xfId="0" applyFont="1" applyFill="1" applyBorder="1" applyAlignment="1">
      <alignment horizontal="center" vertical="center" wrapText="1"/>
    </xf>
    <xf numFmtId="0" fontId="0" fillId="5" borderId="7"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14"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1" fillId="0" borderId="6" xfId="0" applyFont="1" applyBorder="1" applyAlignment="1">
      <alignment horizontal="center" wrapText="1"/>
    </xf>
    <xf numFmtId="0" fontId="1" fillId="0" borderId="11" xfId="0" applyFont="1" applyBorder="1" applyAlignment="1">
      <alignment horizontal="center" wrapText="1"/>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1" fillId="0" borderId="6"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right"/>
    </xf>
    <xf numFmtId="0" fontId="8" fillId="0" borderId="10" xfId="0" applyFont="1" applyBorder="1" applyAlignment="1">
      <alignment horizontal="center" wrapText="1"/>
    </xf>
    <xf numFmtId="0" fontId="8" fillId="0" borderId="15" xfId="0" applyFont="1" applyBorder="1" applyAlignment="1">
      <alignment horizontal="center" wrapText="1"/>
    </xf>
    <xf numFmtId="0" fontId="8" fillId="0" borderId="13" xfId="0" applyFont="1" applyBorder="1" applyAlignment="1">
      <alignment horizontal="center" wrapText="1"/>
    </xf>
    <xf numFmtId="0" fontId="8" fillId="0" borderId="7"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11" fillId="0" borderId="14"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3" fillId="5" borderId="7" xfId="0" applyFont="1" applyFill="1" applyBorder="1" applyAlignment="1" applyProtection="1">
      <alignment horizontal="left" vertical="top" wrapText="1"/>
      <protection locked="0"/>
    </xf>
    <xf numFmtId="0" fontId="13" fillId="5" borderId="6"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top" wrapText="1"/>
      <protection locked="0"/>
    </xf>
    <xf numFmtId="0" fontId="13" fillId="5" borderId="8" xfId="0" applyFont="1" applyFill="1" applyBorder="1" applyAlignment="1" applyProtection="1">
      <alignment horizontal="left" vertical="top" wrapText="1"/>
      <protection locked="0"/>
    </xf>
    <xf numFmtId="0" fontId="13" fillId="5" borderId="0" xfId="0" applyFont="1" applyFill="1" applyAlignment="1" applyProtection="1">
      <alignment horizontal="left" vertical="top" wrapText="1"/>
      <protection locked="0"/>
    </xf>
    <xf numFmtId="0" fontId="13" fillId="5" borderId="9" xfId="0" applyFont="1" applyFill="1" applyBorder="1" applyAlignment="1" applyProtection="1">
      <alignment horizontal="left" vertical="top" wrapText="1"/>
      <protection locked="0"/>
    </xf>
    <xf numFmtId="0" fontId="13" fillId="5" borderId="14"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top" wrapText="1"/>
      <protection locked="0"/>
    </xf>
    <xf numFmtId="0" fontId="13" fillId="5" borderId="12" xfId="0" applyFont="1" applyFill="1" applyBorder="1" applyAlignment="1" applyProtection="1">
      <alignment horizontal="left" vertical="top" wrapText="1"/>
      <protection locked="0"/>
    </xf>
    <xf numFmtId="0" fontId="53" fillId="14" borderId="4" xfId="0" applyFont="1" applyFill="1" applyBorder="1" applyAlignment="1">
      <alignment horizontal="right"/>
    </xf>
    <xf numFmtId="0" fontId="32" fillId="0" borderId="0" xfId="0" applyFont="1" applyAlignment="1">
      <alignment horizontal="center" vertical="center"/>
    </xf>
    <xf numFmtId="0" fontId="8" fillId="0" borderId="8" xfId="0" applyFont="1" applyBorder="1" applyAlignment="1">
      <alignment horizontal="center"/>
    </xf>
    <xf numFmtId="0" fontId="8" fillId="0" borderId="14" xfId="0" applyFont="1" applyBorder="1" applyAlignment="1">
      <alignment horizontal="center"/>
    </xf>
    <xf numFmtId="0" fontId="8" fillId="0" borderId="4" xfId="0" applyFont="1" applyBorder="1" applyAlignment="1">
      <alignment horizontal="center"/>
    </xf>
    <xf numFmtId="0" fontId="41" fillId="0" borderId="6" xfId="0" applyFont="1" applyBorder="1" applyAlignment="1">
      <alignment horizontal="center" vertical="center"/>
    </xf>
    <xf numFmtId="0" fontId="7" fillId="6" borderId="4" xfId="0" applyFont="1" applyFill="1" applyBorder="1" applyAlignment="1">
      <alignment horizontal="center" wrapText="1"/>
    </xf>
    <xf numFmtId="0" fontId="1" fillId="8" borderId="8" xfId="0" applyFont="1" applyFill="1" applyBorder="1" applyAlignment="1" applyProtection="1">
      <alignment horizontal="center"/>
      <protection locked="0"/>
    </xf>
    <xf numFmtId="0" fontId="1" fillId="8" borderId="0" xfId="0" applyFont="1" applyFill="1" applyAlignment="1" applyProtection="1">
      <alignment horizontal="center"/>
      <protection locked="0"/>
    </xf>
    <xf numFmtId="0" fontId="67" fillId="14" borderId="6" xfId="0" applyFont="1" applyFill="1" applyBorder="1" applyAlignment="1">
      <alignment horizontal="left" wrapText="1"/>
    </xf>
    <xf numFmtId="49" fontId="44" fillId="0" borderId="0" xfId="0" applyNumberFormat="1" applyFont="1" applyAlignment="1">
      <alignment horizontal="center" wrapText="1"/>
    </xf>
    <xf numFmtId="0" fontId="50" fillId="14" borderId="0" xfId="0" applyFont="1" applyFill="1" applyAlignment="1">
      <alignment horizontal="center" vertical="center" wrapText="1"/>
    </xf>
    <xf numFmtId="0" fontId="72" fillId="14" borderId="0" xfId="0" applyFont="1" applyFill="1" applyAlignment="1">
      <alignment horizontal="center" vertical="center" wrapText="1"/>
    </xf>
    <xf numFmtId="0" fontId="49" fillId="14" borderId="0" xfId="0" applyFont="1" applyFill="1" applyAlignment="1">
      <alignment horizontal="left" vertical="top" wrapText="1" indent="2"/>
    </xf>
    <xf numFmtId="0" fontId="59" fillId="14" borderId="0" xfId="0" applyFont="1" applyFill="1" applyAlignment="1">
      <alignment horizontal="left" vertical="top" wrapText="1" indent="2"/>
    </xf>
    <xf numFmtId="0" fontId="49" fillId="14" borderId="0" xfId="0" applyFont="1" applyFill="1" applyAlignment="1">
      <alignment horizontal="left" vertical="top" wrapText="1" indent="4"/>
    </xf>
    <xf numFmtId="0" fontId="59" fillId="14" borderId="0" xfId="0" applyFont="1" applyFill="1" applyAlignment="1">
      <alignment horizontal="left" vertical="top" wrapText="1" indent="4"/>
    </xf>
    <xf numFmtId="0" fontId="49" fillId="0" borderId="0" xfId="0" applyFont="1" applyAlignment="1">
      <alignment horizontal="left" vertical="top" wrapText="1" indent="4"/>
    </xf>
    <xf numFmtId="0" fontId="59" fillId="0" borderId="0" xfId="0" applyFont="1" applyAlignment="1">
      <alignment horizontal="left" vertical="top" wrapText="1" indent="4"/>
    </xf>
    <xf numFmtId="0" fontId="59" fillId="0" borderId="0" xfId="0" applyFont="1" applyAlignment="1">
      <alignment horizontal="left" vertical="top" wrapText="1" indent="2"/>
    </xf>
    <xf numFmtId="0" fontId="49" fillId="14" borderId="0" xfId="0" applyFont="1" applyFill="1" applyAlignment="1">
      <alignment horizontal="left" vertical="top" wrapText="1" indent="6"/>
    </xf>
    <xf numFmtId="0" fontId="59" fillId="14" borderId="0" xfId="0" applyFont="1" applyFill="1" applyAlignment="1">
      <alignment horizontal="left" vertical="top" wrapText="1" indent="6"/>
    </xf>
    <xf numFmtId="0" fontId="8" fillId="0" borderId="30" xfId="0" applyFont="1" applyBorder="1" applyAlignment="1">
      <alignment horizontal="left" vertical="center"/>
    </xf>
    <xf numFmtId="0" fontId="8" fillId="0" borderId="0" xfId="0" applyFont="1" applyAlignment="1">
      <alignment horizontal="left" vertical="center"/>
    </xf>
    <xf numFmtId="0" fontId="54" fillId="0" borderId="0" xfId="0" applyFont="1" applyAlignment="1">
      <alignment horizontal="center"/>
    </xf>
    <xf numFmtId="0" fontId="7" fillId="5" borderId="21" xfId="0" applyFont="1" applyFill="1" applyBorder="1" applyAlignment="1" applyProtection="1">
      <alignment horizontal="left"/>
      <protection locked="0"/>
    </xf>
    <xf numFmtId="0" fontId="7" fillId="5" borderId="23" xfId="0" applyFont="1" applyFill="1" applyBorder="1" applyAlignment="1" applyProtection="1">
      <alignment horizontal="left"/>
      <protection locked="0"/>
    </xf>
    <xf numFmtId="0" fontId="7" fillId="5" borderId="19" xfId="0" applyFont="1" applyFill="1" applyBorder="1" applyAlignment="1" applyProtection="1">
      <alignment horizontal="left"/>
      <protection locked="0"/>
    </xf>
    <xf numFmtId="0" fontId="7" fillId="5" borderId="20" xfId="0" applyFont="1" applyFill="1" applyBorder="1" applyAlignment="1" applyProtection="1">
      <alignment horizontal="left"/>
      <protection locked="0"/>
    </xf>
    <xf numFmtId="0" fontId="7" fillId="5" borderId="33" xfId="0" applyFont="1" applyFill="1" applyBorder="1" applyAlignment="1" applyProtection="1">
      <alignment horizontal="left"/>
      <protection locked="0"/>
    </xf>
    <xf numFmtId="0" fontId="7" fillId="5" borderId="36"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8" fillId="0" borderId="30" xfId="0" applyFont="1" applyBorder="1" applyAlignment="1">
      <alignment horizontal="left"/>
    </xf>
    <xf numFmtId="0" fontId="8" fillId="0" borderId="0" xfId="0" applyFont="1" applyAlignment="1">
      <alignment horizontal="left"/>
    </xf>
    <xf numFmtId="0" fontId="54" fillId="0" borderId="8" xfId="0" applyFont="1" applyBorder="1" applyAlignment="1">
      <alignment horizontal="center"/>
    </xf>
    <xf numFmtId="0" fontId="65" fillId="14" borderId="0" xfId="0" applyFont="1" applyFill="1" applyAlignment="1">
      <alignment horizontal="left"/>
    </xf>
    <xf numFmtId="0" fontId="66" fillId="14" borderId="0" xfId="0" applyFont="1" applyFill="1" applyAlignment="1">
      <alignment horizontal="left"/>
    </xf>
    <xf numFmtId="0" fontId="8" fillId="0" borderId="10" xfId="0" applyFont="1" applyBorder="1" applyAlignment="1">
      <alignment horizontal="center"/>
    </xf>
    <xf numFmtId="0" fontId="8" fillId="0" borderId="15" xfId="0" applyFont="1" applyBorder="1" applyAlignment="1">
      <alignment horizontal="center"/>
    </xf>
    <xf numFmtId="0" fontId="11" fillId="0" borderId="4" xfId="0" applyFont="1" applyBorder="1" applyAlignment="1">
      <alignment horizontal="center"/>
    </xf>
    <xf numFmtId="0" fontId="8" fillId="6" borderId="36" xfId="0" applyFont="1" applyFill="1" applyBorder="1" applyAlignment="1">
      <alignment horizontal="center" vertical="center"/>
    </xf>
    <xf numFmtId="0" fontId="8" fillId="6" borderId="20" xfId="0" applyFont="1" applyFill="1" applyBorder="1" applyAlignment="1">
      <alignment horizontal="center" vertical="center"/>
    </xf>
    <xf numFmtId="0" fontId="8" fillId="0" borderId="33"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51" xfId="0" applyFont="1" applyBorder="1" applyAlignment="1">
      <alignment horizontal="center"/>
    </xf>
    <xf numFmtId="0" fontId="8" fillId="0" borderId="40" xfId="0" applyFont="1" applyBorder="1" applyAlignment="1">
      <alignment horizontal="center"/>
    </xf>
    <xf numFmtId="0" fontId="8" fillId="0" borderId="52" xfId="0" applyFont="1" applyBorder="1" applyAlignment="1">
      <alignment horizontal="center"/>
    </xf>
    <xf numFmtId="0" fontId="0" fillId="5" borderId="4" xfId="0" applyFill="1" applyBorder="1" applyAlignment="1">
      <alignment horizontal="center"/>
    </xf>
    <xf numFmtId="0" fontId="0" fillId="5" borderId="20" xfId="0" applyFill="1" applyBorder="1" applyAlignment="1">
      <alignment horizontal="center"/>
    </xf>
    <xf numFmtId="0" fontId="0" fillId="5" borderId="22" xfId="0" applyFill="1" applyBorder="1" applyAlignment="1" applyProtection="1">
      <alignment horizontal="center"/>
      <protection locked="0"/>
    </xf>
    <xf numFmtId="0" fontId="8" fillId="6" borderId="13" xfId="0" applyFont="1" applyFill="1" applyBorder="1" applyAlignment="1">
      <alignment horizontal="center"/>
    </xf>
    <xf numFmtId="0" fontId="8" fillId="6" borderId="4" xfId="0" applyFont="1" applyFill="1" applyBorder="1" applyAlignment="1">
      <alignment horizontal="center"/>
    </xf>
    <xf numFmtId="0" fontId="8" fillId="6" borderId="4" xfId="0" applyFont="1" applyFill="1" applyBorder="1" applyAlignment="1">
      <alignment horizontal="center" wrapText="1"/>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66" fillId="14" borderId="27" xfId="0" quotePrefix="1" applyFont="1" applyFill="1" applyBorder="1" applyAlignment="1">
      <alignment horizontal="left"/>
    </xf>
    <xf numFmtId="0" fontId="8" fillId="6" borderId="13" xfId="0"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xf>
    <xf numFmtId="0" fontId="8" fillId="6" borderId="4" xfId="0" applyFont="1" applyFill="1" applyBorder="1" applyAlignment="1">
      <alignment horizontal="center" vertical="center"/>
    </xf>
    <xf numFmtId="0" fontId="7" fillId="5" borderId="22" xfId="0" applyFont="1" applyFill="1" applyBorder="1" applyAlignment="1" applyProtection="1">
      <alignment horizontal="left"/>
      <protection locked="0"/>
    </xf>
    <xf numFmtId="0" fontId="8" fillId="0" borderId="1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 fillId="0" borderId="51" xfId="0" applyFont="1" applyBorder="1" applyAlignment="1">
      <alignment horizontal="center"/>
    </xf>
    <xf numFmtId="0" fontId="1" fillId="0" borderId="40" xfId="0" applyFont="1" applyBorder="1" applyAlignment="1">
      <alignment horizontal="center"/>
    </xf>
    <xf numFmtId="0" fontId="1" fillId="0" borderId="52" xfId="0" applyFont="1" applyBorder="1" applyAlignment="1">
      <alignment horizontal="center"/>
    </xf>
    <xf numFmtId="0" fontId="5" fillId="14" borderId="1"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0" fillId="0" borderId="19" xfId="0" applyBorder="1" applyAlignment="1">
      <alignment horizontal="center" vertical="center"/>
    </xf>
    <xf numFmtId="0" fontId="1" fillId="5" borderId="4"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0" fillId="0" borderId="16" xfId="0" applyBorder="1" applyAlignment="1">
      <alignment horizontal="left"/>
    </xf>
    <xf numFmtId="0" fontId="0" fillId="0" borderId="17" xfId="0" applyBorder="1" applyAlignment="1">
      <alignment horizontal="left"/>
    </xf>
    <xf numFmtId="0" fontId="0" fillId="0" borderId="21" xfId="0" applyBorder="1" applyAlignment="1">
      <alignment horizontal="center" vertical="center"/>
    </xf>
    <xf numFmtId="0" fontId="0" fillId="0" borderId="22" xfId="0" applyBorder="1" applyAlignment="1">
      <alignment horizontal="center" vertical="center"/>
    </xf>
    <xf numFmtId="0" fontId="1" fillId="5" borderId="22"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0" fillId="0" borderId="21" xfId="0" applyBorder="1" applyAlignment="1">
      <alignment horizontal="left"/>
    </xf>
    <xf numFmtId="0" fontId="0" fillId="0" borderId="22" xfId="0" applyBorder="1" applyAlignment="1">
      <alignment horizontal="left"/>
    </xf>
    <xf numFmtId="0" fontId="36" fillId="0" borderId="27" xfId="0" applyFont="1" applyBorder="1" applyAlignment="1">
      <alignment horizontal="left" wrapText="1"/>
    </xf>
    <xf numFmtId="0" fontId="1" fillId="7" borderId="4"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protection locked="0"/>
    </xf>
    <xf numFmtId="0" fontId="0" fillId="0" borderId="48" xfId="0" applyBorder="1" applyAlignment="1">
      <alignment horizontal="left"/>
    </xf>
    <xf numFmtId="0" fontId="0" fillId="0" borderId="15" xfId="0" applyBorder="1" applyAlignment="1">
      <alignment horizontal="left"/>
    </xf>
    <xf numFmtId="0" fontId="0" fillId="0" borderId="19" xfId="0" applyBorder="1" applyAlignment="1">
      <alignment horizontal="left"/>
    </xf>
    <xf numFmtId="0" fontId="0" fillId="0" borderId="4" xfId="0" applyBorder="1" applyAlignment="1">
      <alignment horizontal="left"/>
    </xf>
    <xf numFmtId="0" fontId="0" fillId="0" borderId="5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5" borderId="1" xfId="0" applyFont="1" applyFill="1" applyBorder="1" applyAlignment="1" applyProtection="1">
      <alignment horizontal="center" vertical="center"/>
      <protection locked="0"/>
    </xf>
    <xf numFmtId="0" fontId="1" fillId="5" borderId="47" xfId="0" applyFont="1" applyFill="1" applyBorder="1" applyAlignment="1" applyProtection="1">
      <alignment horizontal="center" vertical="center"/>
      <protection locked="0"/>
    </xf>
    <xf numFmtId="0" fontId="1" fillId="14" borderId="1" xfId="0" applyFont="1" applyFill="1" applyBorder="1" applyAlignment="1">
      <alignment horizontal="left" wrapText="1"/>
    </xf>
    <xf numFmtId="0" fontId="1" fillId="14" borderId="2" xfId="0" applyFont="1" applyFill="1" applyBorder="1" applyAlignment="1">
      <alignment horizontal="left" wrapText="1"/>
    </xf>
    <xf numFmtId="0" fontId="1" fillId="14" borderId="3" xfId="0" applyFont="1" applyFill="1" applyBorder="1" applyAlignment="1">
      <alignment horizontal="left" wrapText="1"/>
    </xf>
    <xf numFmtId="0" fontId="0" fillId="0" borderId="7"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39" xfId="0" applyFont="1" applyBorder="1" applyAlignment="1">
      <alignment horizontal="center" vertical="center"/>
    </xf>
    <xf numFmtId="0" fontId="35" fillId="0" borderId="29"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horizontal="center" vertical="center"/>
    </xf>
    <xf numFmtId="0" fontId="1" fillId="7" borderId="13" xfId="0" applyFont="1" applyFill="1" applyBorder="1" applyAlignment="1" applyProtection="1">
      <alignment horizontal="center" vertical="center"/>
      <protection locked="0"/>
    </xf>
    <xf numFmtId="0" fontId="1" fillId="7" borderId="36" xfId="0" applyFont="1" applyFill="1" applyBorder="1" applyAlignment="1" applyProtection="1">
      <alignment horizontal="center" vertical="center"/>
      <protection locked="0"/>
    </xf>
    <xf numFmtId="0" fontId="0" fillId="0" borderId="19" xfId="0" applyBorder="1" applyAlignment="1">
      <alignment horizontal="center" vertical="center" wrapText="1"/>
    </xf>
    <xf numFmtId="0" fontId="0" fillId="6" borderId="0" xfId="0" applyFill="1" applyAlignment="1">
      <alignment horizontal="left" wrapText="1"/>
    </xf>
    <xf numFmtId="0" fontId="1" fillId="6" borderId="7" xfId="0" applyFont="1" applyFill="1" applyBorder="1" applyAlignment="1">
      <alignment horizontal="center" wrapText="1"/>
    </xf>
    <xf numFmtId="0" fontId="1" fillId="6" borderId="6" xfId="0" applyFont="1" applyFill="1" applyBorder="1" applyAlignment="1">
      <alignment horizontal="center" wrapText="1"/>
    </xf>
    <xf numFmtId="0" fontId="1" fillId="6" borderId="5" xfId="0" applyFont="1" applyFill="1" applyBorder="1" applyAlignment="1">
      <alignment horizontal="center" wrapText="1"/>
    </xf>
    <xf numFmtId="0" fontId="1" fillId="6" borderId="14" xfId="0" applyFont="1" applyFill="1" applyBorder="1" applyAlignment="1">
      <alignment horizontal="center" wrapText="1"/>
    </xf>
    <xf numFmtId="0" fontId="1" fillId="6" borderId="11" xfId="0" applyFont="1" applyFill="1" applyBorder="1" applyAlignment="1">
      <alignment horizontal="center" wrapText="1"/>
    </xf>
    <xf numFmtId="0" fontId="1" fillId="6" borderId="12" xfId="0" applyFont="1" applyFill="1" applyBorder="1" applyAlignment="1">
      <alignment horizont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1" fillId="6" borderId="1" xfId="0" applyFont="1" applyFill="1" applyBorder="1" applyAlignment="1">
      <alignment horizontal="center" wrapText="1"/>
    </xf>
    <xf numFmtId="0" fontId="1" fillId="6" borderId="2" xfId="0" applyFont="1" applyFill="1" applyBorder="1" applyAlignment="1">
      <alignment horizontal="center" wrapText="1"/>
    </xf>
    <xf numFmtId="0" fontId="1" fillId="6" borderId="3" xfId="0" applyFont="1" applyFill="1" applyBorder="1" applyAlignment="1">
      <alignment horizontal="center" wrapText="1"/>
    </xf>
    <xf numFmtId="0" fontId="1" fillId="6" borderId="10" xfId="0" applyFont="1" applyFill="1" applyBorder="1" applyAlignment="1">
      <alignment horizontal="center" wrapText="1"/>
    </xf>
    <xf numFmtId="0" fontId="1" fillId="6" borderId="13" xfId="0" applyFont="1" applyFill="1" applyBorder="1" applyAlignment="1">
      <alignment horizontal="center" wrapText="1"/>
    </xf>
    <xf numFmtId="0" fontId="2" fillId="6" borderId="0" xfId="0" quotePrefix="1" applyFont="1" applyFill="1" applyAlignment="1">
      <alignment horizontal="left" vertical="top" wrapText="1"/>
    </xf>
    <xf numFmtId="0" fontId="2" fillId="6" borderId="9" xfId="0" quotePrefix="1" applyFont="1" applyFill="1" applyBorder="1" applyAlignment="1">
      <alignment horizontal="left" vertical="top" wrapText="1"/>
    </xf>
    <xf numFmtId="0" fontId="2" fillId="6" borderId="0" xfId="0" applyFont="1" applyFill="1" applyAlignment="1">
      <alignment horizontal="left" wrapText="1"/>
    </xf>
    <xf numFmtId="0" fontId="2" fillId="6" borderId="0" xfId="0" applyFont="1" applyFill="1" applyAlignment="1">
      <alignment horizontal="left"/>
    </xf>
    <xf numFmtId="0" fontId="0" fillId="6" borderId="0" xfId="0" applyFill="1" applyAlignment="1">
      <alignment horizontal="left" vertical="top" wrapText="1"/>
    </xf>
  </cellXfs>
  <cellStyles count="2">
    <cellStyle name="Normal" xfId="0" builtinId="0"/>
    <cellStyle name="Percent" xfId="1" builtinId="5"/>
  </cellStyles>
  <dxfs count="47">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4" tint="0.79998168889431442"/>
        </patternFill>
      </fill>
    </dxf>
    <dxf>
      <fill>
        <patternFill>
          <bgColor theme="4"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829734</xdr:colOff>
      <xdr:row>51</xdr:row>
      <xdr:rowOff>180997</xdr:rowOff>
    </xdr:from>
    <xdr:to>
      <xdr:col>0</xdr:col>
      <xdr:colOff>6273801</xdr:colOff>
      <xdr:row>73</xdr:row>
      <xdr:rowOff>49143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734" y="21516997"/>
          <a:ext cx="5444067" cy="3967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EPA%20Carlos%20-%20Portland/SEFA%20Updates/Spring%202014%20SEFA%20updates/Williams%20Test/Updated%20SEFA%202/Untouched_110311_template%20inventory%20modul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User Defined Factors"/>
      <sheetName val="grid electricity"/>
      <sheetName val="template"/>
      <sheetName val="TEST"/>
      <sheetName val="Summary"/>
      <sheetName val="Lookup"/>
    </sheetNames>
    <sheetDataSet>
      <sheetData sheetId="0">
        <row r="3">
          <cell r="A3" t="str">
            <v>&lt;Site Name&gt; Footprint Analysis</v>
          </cell>
        </row>
      </sheetData>
      <sheetData sheetId="1"/>
      <sheetData sheetId="2"/>
      <sheetData sheetId="3"/>
      <sheetData sheetId="4"/>
      <sheetData sheetId="5"/>
      <sheetData sheetId="6">
        <row r="9">
          <cell r="B9" t="str">
            <v>B20</v>
          </cell>
          <cell r="C9" t="str">
            <v>Biodiesel</v>
          </cell>
          <cell r="D9" t="str">
            <v>Diesel</v>
          </cell>
          <cell r="E9" t="str">
            <v>Electricity</v>
          </cell>
          <cell r="F9" t="str">
            <v>Gasoline</v>
          </cell>
          <cell r="G9" t="str">
            <v>Natural Gas</v>
          </cell>
        </row>
        <row r="11">
          <cell r="A11" t="str">
            <v>Airplane</v>
          </cell>
          <cell r="I11" t="str">
            <v>Asphalt paver (150 HP)</v>
          </cell>
        </row>
        <row r="12">
          <cell r="A12" t="str">
            <v>Bus</v>
          </cell>
          <cell r="I12" t="str">
            <v>Backhoe (100 HP)</v>
          </cell>
        </row>
        <row r="13">
          <cell r="A13" t="str">
            <v>Car</v>
          </cell>
          <cell r="I13" t="str">
            <v>Concrete paving machine (200 HP)</v>
          </cell>
        </row>
        <row r="14">
          <cell r="A14" t="str">
            <v>Heavy-Duty Truck</v>
          </cell>
          <cell r="I14" t="str">
            <v>Dozer - large (200 HP)</v>
          </cell>
        </row>
        <row r="15">
          <cell r="A15" t="str">
            <v>Light-Duty Truck</v>
          </cell>
          <cell r="I15" t="str">
            <v>Dozer - small (100 HP)</v>
          </cell>
        </row>
        <row r="16">
          <cell r="A16" t="str">
            <v>Train</v>
          </cell>
          <cell r="I16" t="str">
            <v>Drilling - direct push (60 HP)</v>
          </cell>
        </row>
        <row r="17">
          <cell r="A17" t="str">
            <v>Vehicle (other)</v>
          </cell>
          <cell r="I17" t="str">
            <v>Drilling - large rig (500 HP)</v>
          </cell>
        </row>
        <row r="18">
          <cell r="I18" t="str">
            <v>Drilling - medium rig (150 HP)</v>
          </cell>
        </row>
        <row r="19">
          <cell r="I19" t="str">
            <v>Dump truck (400 HP)</v>
          </cell>
        </row>
        <row r="20">
          <cell r="I20" t="str">
            <v>Excavator - large (250 HP)</v>
          </cell>
        </row>
        <row r="21">
          <cell r="I21" t="str">
            <v>Excavator - medium (175 HP)</v>
          </cell>
        </row>
        <row r="22">
          <cell r="I22" t="str">
            <v>Excavator/hoe - small (75 HP)</v>
          </cell>
        </row>
        <row r="23">
          <cell r="I23" t="str">
            <v>Generator - HP varies</v>
          </cell>
        </row>
        <row r="24">
          <cell r="I24" t="str">
            <v>Grader (175 HP)</v>
          </cell>
        </row>
        <row r="25">
          <cell r="I25" t="str">
            <v>Grout pump (20 HP)</v>
          </cell>
        </row>
        <row r="26">
          <cell r="I26" t="str">
            <v>Hydroseeder (20 HP)</v>
          </cell>
        </row>
        <row r="27">
          <cell r="I27" t="str">
            <v>Integrated tool carrier (100 HP)</v>
          </cell>
        </row>
        <row r="28">
          <cell r="I28" t="str">
            <v>Loader (200 HP)</v>
          </cell>
        </row>
        <row r="29">
          <cell r="I29" t="str">
            <v>Loader - small (75 HP0</v>
          </cell>
        </row>
        <row r="30">
          <cell r="I30" t="str">
            <v>Mobile laboratory (25 HP)</v>
          </cell>
        </row>
        <row r="31">
          <cell r="A31" t="str">
            <v>B20</v>
          </cell>
          <cell r="I31" t="str">
            <v>Mowers (5 HP)</v>
          </cell>
        </row>
        <row r="32">
          <cell r="A32" t="str">
            <v>Biodiesel</v>
          </cell>
          <cell r="I32" t="str">
            <v>Other - HP varies</v>
          </cell>
        </row>
        <row r="33">
          <cell r="A33" t="str">
            <v>Diesel</v>
          </cell>
          <cell r="I33" t="str">
            <v>Riding trencher (55 HP)</v>
          </cell>
        </row>
        <row r="34">
          <cell r="A34" t="str">
            <v>Gasoline</v>
          </cell>
          <cell r="I34" t="str">
            <v>Roller (100 HP)</v>
          </cell>
        </row>
        <row r="35">
          <cell r="I35" t="str">
            <v>Rotary-screw air compressor - 250 cfm (60 HP)</v>
          </cell>
        </row>
        <row r="36">
          <cell r="I36" t="str">
            <v>Skid-steer - small (60 HP)</v>
          </cell>
        </row>
        <row r="37">
          <cell r="I37" t="str">
            <v>Telescopic handler (60 HP)</v>
          </cell>
        </row>
        <row r="38">
          <cell r="I38" t="str">
            <v>Tractor mower (25 HP)</v>
          </cell>
        </row>
        <row r="39">
          <cell r="I39" t="str">
            <v>Water truck (400 HP)</v>
          </cell>
        </row>
        <row r="48">
          <cell r="I48" t="str">
            <v>B20</v>
          </cell>
          <cell r="J48" t="str">
            <v>Biodiesel</v>
          </cell>
          <cell r="K48" t="str">
            <v>Diesel</v>
          </cell>
        </row>
        <row r="50">
          <cell r="A50" t="str">
            <v>Cement</v>
          </cell>
          <cell r="H50" t="str">
            <v>Aircraft (gptm)</v>
          </cell>
        </row>
        <row r="51">
          <cell r="A51" t="str">
            <v>Concrete</v>
          </cell>
          <cell r="H51" t="str">
            <v>Barge (gptm)</v>
          </cell>
        </row>
        <row r="52">
          <cell r="A52" t="str">
            <v>Gravel/sand/clay</v>
          </cell>
          <cell r="H52" t="str">
            <v>Train (gptm)</v>
          </cell>
        </row>
        <row r="53">
          <cell r="A53" t="str">
            <v>HDPE</v>
          </cell>
          <cell r="H53" t="str">
            <v>Truck (mpg)</v>
          </cell>
        </row>
        <row r="54">
          <cell r="A54" t="str">
            <v>Photovoltaic system (installed)</v>
          </cell>
          <cell r="H54" t="str">
            <v>Truck freight (gptm)</v>
          </cell>
        </row>
        <row r="55">
          <cell r="A55" t="str">
            <v>PVC</v>
          </cell>
        </row>
        <row r="56">
          <cell r="A56" t="str">
            <v>Stainless Steel</v>
          </cell>
        </row>
        <row r="57">
          <cell r="A57" t="str">
            <v>Steel</v>
          </cell>
        </row>
        <row r="58">
          <cell r="A58" t="str">
            <v>Other refined construction materials</v>
          </cell>
        </row>
        <row r="59">
          <cell r="A59" t="str">
            <v>Other unrefined construction materials</v>
          </cell>
        </row>
        <row r="61">
          <cell r="A61" t="str">
            <v>Cheese Whey</v>
          </cell>
        </row>
        <row r="62">
          <cell r="A62" t="str">
            <v>Emulsified vegetable oil</v>
          </cell>
        </row>
        <row r="63">
          <cell r="A63" t="str">
            <v>Molasses</v>
          </cell>
        </row>
        <row r="64">
          <cell r="A64" t="str">
            <v>Treatment materials &amp; chemicals</v>
          </cell>
        </row>
        <row r="65">
          <cell r="A65" t="str">
            <v>Virgin GAC (coal based)</v>
          </cell>
        </row>
        <row r="66">
          <cell r="H66" t="str">
            <v>POTW</v>
          </cell>
        </row>
        <row r="67">
          <cell r="A67" t="str">
            <v>Public water</v>
          </cell>
          <cell r="H67" t="str">
            <v>Hazardous landfill</v>
          </cell>
        </row>
        <row r="68">
          <cell r="H68" t="str">
            <v>Incineration facility</v>
          </cell>
        </row>
        <row r="69">
          <cell r="A69" t="str">
            <v>Activity #1</v>
          </cell>
          <cell r="H69" t="str">
            <v>Location for reuse</v>
          </cell>
        </row>
        <row r="70">
          <cell r="A70" t="str">
            <v>Activity #2</v>
          </cell>
          <cell r="H70" t="str">
            <v>Non-hazardous landfill</v>
          </cell>
        </row>
        <row r="71">
          <cell r="A71" t="str">
            <v>Activity #3</v>
          </cell>
          <cell r="H71" t="str">
            <v>Recycling facility</v>
          </cell>
        </row>
        <row r="72">
          <cell r="A72" t="str">
            <v>Activity #4</v>
          </cell>
        </row>
        <row r="73">
          <cell r="A73" t="str">
            <v>Activity #5</v>
          </cell>
        </row>
        <row r="74">
          <cell r="A74" t="str">
            <v>Activity #6</v>
          </cell>
        </row>
        <row r="75">
          <cell r="A75" t="str">
            <v>Activity #7</v>
          </cell>
        </row>
        <row r="76">
          <cell r="A76" t="str">
            <v>Activity #8</v>
          </cell>
        </row>
        <row r="77">
          <cell r="A77" t="str">
            <v>Activity #9</v>
          </cell>
        </row>
        <row r="78">
          <cell r="A78" t="str">
            <v>Activity #10</v>
          </cell>
        </row>
        <row r="79">
          <cell r="A79" t="str">
            <v>Activity #11</v>
          </cell>
        </row>
        <row r="80">
          <cell r="A80" t="str">
            <v>Activity #12</v>
          </cell>
        </row>
        <row r="81">
          <cell r="A81" t="str">
            <v>Activity #13</v>
          </cell>
        </row>
        <row r="82">
          <cell r="A82" t="str">
            <v>Activity #14</v>
          </cell>
        </row>
        <row r="83">
          <cell r="A83" t="str">
            <v>Activity #15</v>
          </cell>
        </row>
        <row r="84">
          <cell r="A84" t="str">
            <v>Activity #16</v>
          </cell>
        </row>
        <row r="85">
          <cell r="A85" t="str">
            <v>Activity #17</v>
          </cell>
        </row>
        <row r="86">
          <cell r="A86" t="str">
            <v>Activity #18</v>
          </cell>
        </row>
        <row r="87">
          <cell r="A87" t="str">
            <v>Activity #19</v>
          </cell>
        </row>
        <row r="88">
          <cell r="A88" t="str">
            <v>Activity #20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sheetPr>
  <dimension ref="A1:H60"/>
  <sheetViews>
    <sheetView tabSelected="1" topLeftCell="B1" zoomScaleNormal="100" zoomScaleSheetLayoutView="90" zoomScalePageLayoutView="85" workbookViewId="0"/>
  </sheetViews>
  <sheetFormatPr defaultColWidth="9.140625" defaultRowHeight="15" x14ac:dyDescent="0.25"/>
  <cols>
    <col min="1" max="8" width="13.7109375" customWidth="1"/>
  </cols>
  <sheetData>
    <row r="1" spans="1:8" ht="15" customHeight="1" x14ac:dyDescent="0.25">
      <c r="A1" s="7"/>
      <c r="B1" s="7"/>
      <c r="C1" s="7"/>
      <c r="D1" s="7"/>
      <c r="E1" s="7"/>
      <c r="F1" s="7"/>
      <c r="G1" s="7"/>
      <c r="H1" s="7"/>
    </row>
    <row r="2" spans="1:8" ht="15" customHeight="1" x14ac:dyDescent="0.25">
      <c r="A2" s="7"/>
      <c r="B2" s="7"/>
      <c r="C2" s="7"/>
      <c r="D2" s="7"/>
      <c r="E2" s="7"/>
      <c r="F2" s="7"/>
      <c r="G2" s="7"/>
      <c r="H2" s="7"/>
    </row>
    <row r="3" spans="1:8" ht="15" customHeight="1" x14ac:dyDescent="0.25">
      <c r="A3" s="474" t="e">
        <f ca="1">CONCATENATE(INDIRECT(CONCATENATE("'",$C$10,"[",$C$11,"]General'!$c6")))</f>
        <v>#REF!</v>
      </c>
      <c r="B3" s="474"/>
      <c r="C3" s="474"/>
      <c r="D3" s="474"/>
      <c r="E3" s="474"/>
      <c r="F3" s="474"/>
      <c r="G3" s="474"/>
      <c r="H3" s="474"/>
    </row>
    <row r="4" spans="1:8" ht="15" customHeight="1" x14ac:dyDescent="0.25">
      <c r="A4" s="475" t="s">
        <v>909</v>
      </c>
      <c r="B4" s="475"/>
      <c r="C4" s="475"/>
      <c r="D4" s="475"/>
      <c r="E4" s="475"/>
      <c r="F4" s="475"/>
      <c r="G4" s="475"/>
      <c r="H4" s="475"/>
    </row>
    <row r="5" spans="1:8" ht="15" customHeight="1" x14ac:dyDescent="0.25">
      <c r="A5" s="476" t="s">
        <v>228</v>
      </c>
      <c r="B5" s="476"/>
      <c r="C5" s="476"/>
      <c r="D5" s="476"/>
      <c r="E5" s="476"/>
      <c r="F5" s="476"/>
      <c r="G5" s="476"/>
      <c r="H5" s="476"/>
    </row>
    <row r="6" spans="1:8" ht="15" customHeight="1" x14ac:dyDescent="0.25">
      <c r="A6" s="474" t="e">
        <f ca="1">CONCATENATE(INDIRECT(CONCATENATE("'",$C$10,"[",$C$11,"]General'!$c7")))</f>
        <v>#REF!</v>
      </c>
      <c r="B6" s="474"/>
      <c r="C6" s="474"/>
      <c r="D6" s="474"/>
      <c r="E6" s="474"/>
      <c r="F6" s="474"/>
      <c r="G6" s="474"/>
      <c r="H6" s="474"/>
    </row>
    <row r="7" spans="1:8" ht="15" customHeight="1" x14ac:dyDescent="0.25">
      <c r="A7" s="7"/>
      <c r="B7" s="7"/>
      <c r="C7" s="7"/>
      <c r="D7" s="7"/>
      <c r="E7" s="7"/>
      <c r="F7" s="7"/>
      <c r="G7" s="7"/>
      <c r="H7" s="7"/>
    </row>
    <row r="8" spans="1:8" ht="15" customHeight="1" x14ac:dyDescent="0.25">
      <c r="B8" s="7"/>
      <c r="C8" s="478" t="s">
        <v>300</v>
      </c>
      <c r="D8" s="479"/>
      <c r="E8" s="479"/>
      <c r="F8" s="479"/>
      <c r="G8" s="480"/>
      <c r="H8" s="8"/>
    </row>
    <row r="9" spans="1:8" ht="15" customHeight="1" x14ac:dyDescent="0.25">
      <c r="A9" s="7"/>
      <c r="B9" s="7"/>
      <c r="C9" s="481"/>
      <c r="D9" s="482"/>
      <c r="E9" s="482"/>
      <c r="F9" s="482"/>
      <c r="G9" s="483"/>
      <c r="H9" s="7"/>
    </row>
    <row r="10" spans="1:8" ht="15" customHeight="1" x14ac:dyDescent="0.25">
      <c r="A10" s="7"/>
      <c r="B10" s="44" t="s">
        <v>144</v>
      </c>
      <c r="C10" s="484"/>
      <c r="D10" s="484"/>
      <c r="E10" s="484"/>
      <c r="F10" s="484"/>
      <c r="G10" s="484"/>
    </row>
    <row r="11" spans="1:8" ht="15" customHeight="1" x14ac:dyDescent="0.25">
      <c r="A11" s="7"/>
      <c r="B11" s="44" t="s">
        <v>145</v>
      </c>
      <c r="C11" s="485" t="s">
        <v>758</v>
      </c>
      <c r="D11" s="485"/>
      <c r="E11" s="485"/>
      <c r="F11" s="485"/>
      <c r="G11" s="485"/>
    </row>
    <row r="12" spans="1:8" ht="15" customHeight="1" x14ac:dyDescent="0.25">
      <c r="A12" s="7"/>
      <c r="B12" s="7"/>
      <c r="C12" s="7"/>
      <c r="D12" s="7"/>
      <c r="E12" s="7"/>
      <c r="F12" s="7"/>
      <c r="G12" s="7"/>
      <c r="H12" s="7"/>
    </row>
    <row r="13" spans="1:8" ht="15" customHeight="1" x14ac:dyDescent="0.25">
      <c r="A13" s="7"/>
      <c r="B13" s="7"/>
      <c r="C13" s="486" t="str">
        <f ca="1">IF(ISERROR(A3),"ERROR: OPEN MAIN FILE","")</f>
        <v>ERROR: OPEN MAIN FILE</v>
      </c>
      <c r="D13" s="486"/>
      <c r="E13" s="486"/>
      <c r="F13" s="486"/>
      <c r="G13" s="486"/>
      <c r="H13" s="134"/>
    </row>
    <row r="14" spans="1:8" ht="15" customHeight="1" x14ac:dyDescent="0.25">
      <c r="A14" s="23"/>
      <c r="B14" s="23"/>
      <c r="C14" s="23"/>
      <c r="D14" s="23"/>
      <c r="E14" s="23"/>
      <c r="F14" s="23"/>
      <c r="G14" s="23"/>
      <c r="H14" s="23"/>
    </row>
    <row r="15" spans="1:8" ht="15" customHeight="1" x14ac:dyDescent="0.25">
      <c r="A15" s="395"/>
      <c r="B15" s="395"/>
      <c r="C15" s="395"/>
      <c r="D15" s="395"/>
      <c r="E15" s="395"/>
      <c r="F15" s="395"/>
      <c r="G15" s="395"/>
      <c r="H15" s="395"/>
    </row>
    <row r="16" spans="1:8" ht="15" customHeight="1" x14ac:dyDescent="0.25">
      <c r="A16" s="7"/>
      <c r="B16" s="7"/>
      <c r="C16" s="7"/>
      <c r="D16" s="7"/>
      <c r="E16" s="7"/>
      <c r="F16" s="7"/>
      <c r="G16" s="7"/>
      <c r="H16" s="7"/>
    </row>
    <row r="17" spans="1:8" ht="15" customHeight="1" x14ac:dyDescent="0.25">
      <c r="B17" s="124" t="s">
        <v>187</v>
      </c>
      <c r="C17" s="487" t="s">
        <v>335</v>
      </c>
      <c r="D17" s="487"/>
      <c r="E17" s="487"/>
      <c r="F17" s="487"/>
      <c r="G17" s="487"/>
      <c r="H17" s="8"/>
    </row>
    <row r="18" spans="1:8" ht="15" customHeight="1" x14ac:dyDescent="0.25">
      <c r="A18" s="157">
        <v>1</v>
      </c>
      <c r="B18" s="51" t="s">
        <v>262</v>
      </c>
      <c r="C18" s="477" t="e">
        <f ca="1">INDIRECT(CONCATENATE("'",$C$10,"[",$C$11,"]General'!$c18"))</f>
        <v>#REF!</v>
      </c>
      <c r="D18" s="477"/>
      <c r="E18" s="477"/>
      <c r="F18" s="477"/>
      <c r="G18" s="477"/>
      <c r="H18" s="26"/>
    </row>
    <row r="19" spans="1:8" ht="15" customHeight="1" x14ac:dyDescent="0.25">
      <c r="A19" s="157">
        <v>2</v>
      </c>
      <c r="B19" s="51" t="s">
        <v>263</v>
      </c>
      <c r="C19" s="477" t="e">
        <f ca="1">INDIRECT(CONCATENATE("'",$C$10,"[",$C$11,"]General'!$c19"))</f>
        <v>#REF!</v>
      </c>
      <c r="D19" s="477"/>
      <c r="E19" s="477"/>
      <c r="F19" s="477"/>
      <c r="G19" s="477"/>
      <c r="H19" s="26"/>
    </row>
    <row r="20" spans="1:8" ht="15" customHeight="1" x14ac:dyDescent="0.25">
      <c r="A20" s="157">
        <v>3</v>
      </c>
      <c r="B20" s="51" t="s">
        <v>264</v>
      </c>
      <c r="C20" s="477" t="e">
        <f ca="1">INDIRECT(CONCATENATE("'",$C$10,"[",$C$11,"]General'!$c20"))</f>
        <v>#REF!</v>
      </c>
      <c r="D20" s="477"/>
      <c r="E20" s="477"/>
      <c r="F20" s="477"/>
      <c r="G20" s="477"/>
      <c r="H20" s="26"/>
    </row>
    <row r="21" spans="1:8" ht="15" customHeight="1" x14ac:dyDescent="0.25">
      <c r="A21" s="157">
        <v>4</v>
      </c>
      <c r="B21" s="51" t="s">
        <v>265</v>
      </c>
      <c r="C21" s="477" t="e">
        <f ca="1">INDIRECT(CONCATENATE("'",$C$10,"[",$C$11,"]General'!$c21"))</f>
        <v>#REF!</v>
      </c>
      <c r="D21" s="477"/>
      <c r="E21" s="477"/>
      <c r="F21" s="477"/>
      <c r="G21" s="477"/>
      <c r="H21" s="235"/>
    </row>
    <row r="22" spans="1:8" ht="15" customHeight="1" x14ac:dyDescent="0.25">
      <c r="A22" s="157">
        <v>5</v>
      </c>
      <c r="B22" s="51" t="s">
        <v>266</v>
      </c>
      <c r="C22" s="477" t="e">
        <f ca="1">INDIRECT(CONCATENATE("'",$C$10,"[",$C$11,"]General'!$c22"))</f>
        <v>#REF!</v>
      </c>
      <c r="D22" s="477"/>
      <c r="E22" s="477"/>
      <c r="F22" s="477"/>
      <c r="G22" s="477"/>
      <c r="H22" s="26"/>
    </row>
    <row r="23" spans="1:8" ht="15" customHeight="1" x14ac:dyDescent="0.25">
      <c r="A23" s="157">
        <v>6</v>
      </c>
      <c r="B23" s="51" t="s">
        <v>267</v>
      </c>
      <c r="C23" s="477" t="e">
        <f ca="1">INDIRECT(CONCATENATE("'",$C$10,"[",$C$11,"]General'!$c23"))</f>
        <v>#REF!</v>
      </c>
      <c r="D23" s="477"/>
      <c r="E23" s="477"/>
      <c r="F23" s="477"/>
      <c r="G23" s="477"/>
      <c r="H23" s="26"/>
    </row>
    <row r="24" spans="1:8" ht="15" customHeight="1" x14ac:dyDescent="0.25">
      <c r="A24" s="157">
        <v>0</v>
      </c>
      <c r="B24" s="227" t="s">
        <v>282</v>
      </c>
      <c r="C24" s="227" t="s">
        <v>347</v>
      </c>
      <c r="D24" s="252" t="s">
        <v>336</v>
      </c>
      <c r="E24" s="252"/>
      <c r="F24" s="252"/>
      <c r="G24" s="252"/>
      <c r="H24" s="21"/>
    </row>
    <row r="25" spans="1:8" ht="15" customHeight="1" x14ac:dyDescent="0.25">
      <c r="A25" s="135"/>
      <c r="C25" s="11"/>
      <c r="D25" s="22"/>
      <c r="E25" s="22"/>
      <c r="F25" s="22"/>
      <c r="G25" s="22"/>
      <c r="H25" s="22"/>
    </row>
    <row r="26" spans="1:8" ht="15" customHeight="1" x14ac:dyDescent="0.25">
      <c r="B26" s="10" t="s">
        <v>432</v>
      </c>
      <c r="D26" s="11"/>
      <c r="E26" s="11"/>
      <c r="F26" s="11"/>
      <c r="G26" s="11"/>
      <c r="H26" s="11"/>
    </row>
    <row r="27" spans="1:8" ht="15" customHeight="1" x14ac:dyDescent="0.25">
      <c r="B27" s="312"/>
      <c r="C27" s="488" t="s">
        <v>434</v>
      </c>
      <c r="D27" s="489"/>
      <c r="E27" s="489"/>
      <c r="F27" s="489"/>
      <c r="G27" s="489"/>
      <c r="H27" s="489"/>
    </row>
    <row r="28" spans="1:8" ht="15" customHeight="1" x14ac:dyDescent="0.25">
      <c r="B28" s="19"/>
      <c r="C28" s="488" t="s">
        <v>433</v>
      </c>
      <c r="D28" s="489"/>
      <c r="E28" s="489"/>
      <c r="F28" s="489"/>
      <c r="G28" s="489"/>
      <c r="H28" s="489"/>
    </row>
    <row r="29" spans="1:8" ht="15" customHeight="1" x14ac:dyDescent="0.25">
      <c r="B29" s="99"/>
      <c r="C29" s="488" t="s">
        <v>181</v>
      </c>
      <c r="D29" s="489"/>
      <c r="E29" s="489"/>
      <c r="F29" s="489"/>
      <c r="G29" s="489"/>
      <c r="H29" s="489"/>
    </row>
    <row r="30" spans="1:8" ht="15" customHeight="1" x14ac:dyDescent="0.25">
      <c r="B30" s="313"/>
      <c r="C30" s="488" t="s">
        <v>42</v>
      </c>
      <c r="D30" s="489"/>
      <c r="E30" s="489"/>
      <c r="F30" s="489"/>
      <c r="G30" s="489"/>
      <c r="H30" s="489"/>
    </row>
    <row r="31" spans="1:8" ht="15" customHeight="1" x14ac:dyDescent="0.25">
      <c r="B31" s="314"/>
      <c r="C31" s="490" t="s">
        <v>435</v>
      </c>
      <c r="D31" s="491"/>
      <c r="E31" s="491"/>
      <c r="F31" s="491"/>
      <c r="G31" s="491"/>
      <c r="H31" s="491"/>
    </row>
    <row r="32" spans="1:8" x14ac:dyDescent="0.25">
      <c r="A32" s="24"/>
      <c r="B32" s="21"/>
      <c r="C32" s="7"/>
      <c r="D32" s="7"/>
      <c r="E32" s="7"/>
      <c r="F32" s="7"/>
      <c r="G32" s="7"/>
      <c r="H32" s="7"/>
    </row>
    <row r="33" spans="1:8" x14ac:dyDescent="0.25">
      <c r="A33" s="24"/>
      <c r="B33" s="21"/>
      <c r="C33" s="7"/>
      <c r="D33" s="7"/>
      <c r="E33" s="7"/>
      <c r="F33" s="7"/>
      <c r="G33" s="7"/>
      <c r="H33" s="7"/>
    </row>
    <row r="34" spans="1:8" x14ac:dyDescent="0.25">
      <c r="A34" s="25"/>
      <c r="B34" s="25"/>
      <c r="C34" s="25"/>
      <c r="D34" s="25"/>
      <c r="E34" s="25"/>
      <c r="F34" s="25"/>
      <c r="G34" s="25"/>
      <c r="H34" s="25"/>
    </row>
    <row r="35" spans="1:8" x14ac:dyDescent="0.25">
      <c r="A35" s="7"/>
      <c r="B35" s="236"/>
      <c r="C35" s="233"/>
      <c r="D35" s="25"/>
      <c r="E35" s="25"/>
      <c r="F35" s="25"/>
      <c r="G35" s="25"/>
      <c r="H35" s="25"/>
    </row>
    <row r="36" spans="1:8" x14ac:dyDescent="0.25">
      <c r="A36" s="7"/>
      <c r="B36" s="236"/>
      <c r="C36" s="233"/>
      <c r="D36" s="25"/>
      <c r="E36" s="25"/>
      <c r="F36" s="25"/>
      <c r="G36" s="25"/>
      <c r="H36" s="25"/>
    </row>
    <row r="37" spans="1:8" x14ac:dyDescent="0.25">
      <c r="A37" s="7"/>
      <c r="B37" s="236"/>
      <c r="C37" s="233"/>
      <c r="D37" s="25"/>
      <c r="E37" s="25"/>
      <c r="F37" s="25"/>
      <c r="G37" s="25"/>
      <c r="H37" s="25"/>
    </row>
    <row r="38" spans="1:8" x14ac:dyDescent="0.25">
      <c r="A38" s="7"/>
      <c r="B38" s="236"/>
      <c r="C38" s="233"/>
      <c r="D38" s="25"/>
      <c r="E38" s="25"/>
      <c r="F38" s="25"/>
      <c r="G38" s="25"/>
      <c r="H38" s="25"/>
    </row>
    <row r="39" spans="1:8" x14ac:dyDescent="0.25">
      <c r="A39" s="7"/>
      <c r="B39" s="236"/>
      <c r="C39" s="233"/>
      <c r="D39" s="25"/>
      <c r="E39" s="25"/>
      <c r="F39" s="25"/>
      <c r="G39" s="25"/>
      <c r="H39" s="25"/>
    </row>
    <row r="40" spans="1:8" x14ac:dyDescent="0.25">
      <c r="A40" s="7"/>
      <c r="B40" s="236"/>
      <c r="C40" s="7"/>
      <c r="D40" s="7"/>
      <c r="E40" s="7"/>
      <c r="F40" s="7"/>
      <c r="G40" s="7"/>
      <c r="H40" s="7"/>
    </row>
    <row r="41" spans="1:8" x14ac:dyDescent="0.25">
      <c r="A41" s="7"/>
      <c r="B41" s="237"/>
      <c r="C41" s="7"/>
      <c r="D41" s="7"/>
      <c r="E41" s="7"/>
      <c r="F41" s="7"/>
      <c r="G41" s="7"/>
      <c r="H41" s="7"/>
    </row>
    <row r="42" spans="1:8" x14ac:dyDescent="0.25">
      <c r="A42" s="7"/>
      <c r="B42" s="7"/>
      <c r="C42" s="7"/>
      <c r="D42" s="7"/>
      <c r="E42" s="7"/>
      <c r="F42" s="7"/>
      <c r="G42" s="7"/>
      <c r="H42" s="7"/>
    </row>
    <row r="43" spans="1:8" x14ac:dyDescent="0.25">
      <c r="A43" s="7"/>
      <c r="B43" s="7"/>
      <c r="C43" s="7"/>
      <c r="D43" s="7"/>
      <c r="E43" s="7"/>
      <c r="F43" s="7"/>
      <c r="G43" s="7"/>
      <c r="H43" s="7"/>
    </row>
    <row r="44" spans="1:8" x14ac:dyDescent="0.25">
      <c r="A44" s="7"/>
      <c r="B44" s="7"/>
      <c r="C44" s="7"/>
      <c r="D44" s="7"/>
      <c r="E44" s="7"/>
      <c r="F44" s="7"/>
      <c r="G44" s="7"/>
      <c r="H44" s="7"/>
    </row>
    <row r="45" spans="1:8" x14ac:dyDescent="0.25">
      <c r="A45" s="7"/>
      <c r="B45" s="7"/>
      <c r="C45" s="7"/>
      <c r="D45" s="7"/>
      <c r="E45" s="7"/>
      <c r="F45" s="7"/>
      <c r="G45" s="7"/>
      <c r="H45" s="7"/>
    </row>
    <row r="46" spans="1:8" x14ac:dyDescent="0.25">
      <c r="A46" s="7"/>
      <c r="B46" s="7"/>
      <c r="C46" s="7"/>
      <c r="D46" s="7"/>
      <c r="E46" s="7"/>
      <c r="F46" s="7"/>
      <c r="G46" s="7"/>
      <c r="H46" s="7"/>
    </row>
    <row r="47" spans="1:8" x14ac:dyDescent="0.25">
      <c r="A47" s="7"/>
      <c r="B47" s="7"/>
      <c r="C47" s="7"/>
      <c r="D47" s="7"/>
      <c r="E47" s="7"/>
      <c r="F47" s="7"/>
      <c r="G47" s="7"/>
      <c r="H47" s="7"/>
    </row>
    <row r="48" spans="1:8" x14ac:dyDescent="0.25">
      <c r="A48" s="7"/>
      <c r="B48" s="7"/>
      <c r="C48" s="7"/>
      <c r="D48" s="7"/>
      <c r="E48" s="7"/>
      <c r="F48" s="7"/>
      <c r="G48" s="7"/>
      <c r="H48" s="7"/>
    </row>
    <row r="49" spans="1:8" x14ac:dyDescent="0.25">
      <c r="A49" s="7"/>
      <c r="B49" s="7"/>
      <c r="C49" s="7"/>
      <c r="D49" s="7"/>
      <c r="E49" s="7"/>
      <c r="F49" s="7"/>
      <c r="G49" s="7"/>
      <c r="H49" s="7"/>
    </row>
    <row r="50" spans="1:8" x14ac:dyDescent="0.25">
      <c r="A50" s="7"/>
      <c r="B50" s="7"/>
      <c r="C50" s="7"/>
      <c r="D50" s="7"/>
      <c r="E50" s="7"/>
      <c r="F50" s="7"/>
      <c r="G50" s="7"/>
      <c r="H50" s="7"/>
    </row>
    <row r="51" spans="1:8" x14ac:dyDescent="0.25">
      <c r="A51" s="7"/>
      <c r="B51" s="7"/>
      <c r="C51" s="7"/>
      <c r="D51" s="7"/>
      <c r="E51" s="7"/>
      <c r="F51" s="7"/>
      <c r="G51" s="7"/>
      <c r="H51" s="7"/>
    </row>
    <row r="52" spans="1:8" x14ac:dyDescent="0.25">
      <c r="A52" s="7"/>
      <c r="B52" s="7"/>
      <c r="C52" s="7"/>
      <c r="D52" s="7"/>
      <c r="E52" s="7"/>
      <c r="F52" s="7"/>
      <c r="G52" s="7"/>
      <c r="H52" s="7"/>
    </row>
    <row r="53" spans="1:8" x14ac:dyDescent="0.25">
      <c r="A53" s="7"/>
      <c r="B53" s="7"/>
      <c r="C53" s="7"/>
      <c r="D53" s="7"/>
      <c r="E53" s="7"/>
      <c r="F53" s="7"/>
      <c r="G53" s="7"/>
      <c r="H53" s="7"/>
    </row>
    <row r="54" spans="1:8" x14ac:dyDescent="0.25">
      <c r="A54" s="7"/>
      <c r="B54" s="7"/>
      <c r="C54" s="7"/>
      <c r="D54" s="7"/>
      <c r="E54" s="7"/>
      <c r="F54" s="7"/>
      <c r="G54" s="7"/>
      <c r="H54" s="7"/>
    </row>
    <row r="55" spans="1:8" x14ac:dyDescent="0.25">
      <c r="A55" s="7"/>
      <c r="B55" s="7"/>
      <c r="C55" s="7"/>
      <c r="D55" s="7"/>
      <c r="E55" s="7"/>
      <c r="F55" s="7"/>
      <c r="G55" s="7"/>
      <c r="H55" s="7"/>
    </row>
    <row r="56" spans="1:8" x14ac:dyDescent="0.25">
      <c r="A56" s="7"/>
      <c r="B56" s="7"/>
      <c r="C56" s="7"/>
      <c r="D56" s="7"/>
      <c r="E56" s="7"/>
      <c r="F56" s="7"/>
      <c r="G56" s="7"/>
      <c r="H56" s="7"/>
    </row>
    <row r="57" spans="1:8" x14ac:dyDescent="0.25">
      <c r="A57" s="7"/>
      <c r="B57" s="7"/>
      <c r="C57" s="7"/>
      <c r="D57" s="7"/>
      <c r="E57" s="7"/>
      <c r="F57" s="7"/>
      <c r="G57" s="7"/>
      <c r="H57" s="7"/>
    </row>
    <row r="58" spans="1:8" x14ac:dyDescent="0.25">
      <c r="A58" s="7"/>
      <c r="B58" s="7"/>
      <c r="C58" s="7"/>
      <c r="D58" s="7"/>
      <c r="E58" s="7"/>
      <c r="F58" s="7"/>
      <c r="G58" s="7"/>
      <c r="H58" s="7"/>
    </row>
    <row r="59" spans="1:8" x14ac:dyDescent="0.25">
      <c r="A59" s="7"/>
      <c r="B59" s="7"/>
      <c r="C59" s="7"/>
      <c r="D59" s="7"/>
      <c r="E59" s="7"/>
      <c r="F59" s="7"/>
      <c r="G59" s="7"/>
      <c r="H59" s="7"/>
    </row>
    <row r="60" spans="1:8" x14ac:dyDescent="0.25">
      <c r="A60" s="7"/>
      <c r="B60" s="7"/>
      <c r="C60" s="7"/>
      <c r="D60" s="7"/>
      <c r="E60" s="7"/>
      <c r="F60" s="7"/>
      <c r="G60" s="7"/>
      <c r="H60" s="7"/>
    </row>
  </sheetData>
  <sheetProtection algorithmName="SHA-512" hashValue="b4o6KKp6Yq8Hnbs9NXFY5D4DQ7ycZb0Abb9W010GEFpsi/WCSU+y2oOMVdgZWYBibsiRmPS+6y3JE0OGSIlawQ==" saltValue="j3xjBUdT2GPa5TdYUoyGrw==" spinCount="100000" sheet="1" formatCells="0" formatColumns="0" formatRows="0"/>
  <mergeCells count="20">
    <mergeCell ref="C29:H29"/>
    <mergeCell ref="C27:H27"/>
    <mergeCell ref="C28:H28"/>
    <mergeCell ref="C30:H30"/>
    <mergeCell ref="C31:H31"/>
    <mergeCell ref="C23:G23"/>
    <mergeCell ref="C10:G10"/>
    <mergeCell ref="C11:G11"/>
    <mergeCell ref="C13:G13"/>
    <mergeCell ref="C17:G17"/>
    <mergeCell ref="C18:G18"/>
    <mergeCell ref="C19:G19"/>
    <mergeCell ref="C20:G20"/>
    <mergeCell ref="C21:G21"/>
    <mergeCell ref="A3:H3"/>
    <mergeCell ref="A4:H4"/>
    <mergeCell ref="A5:H5"/>
    <mergeCell ref="A6:H6"/>
    <mergeCell ref="C22:G22"/>
    <mergeCell ref="C8:G9"/>
  </mergeCells>
  <pageMargins left="0.7" right="0.7" top="0.25" bottom="0.75" header="0" footer="0.3"/>
  <pageSetup scale="80" orientation="portrait" r:id="rId1"/>
  <headerFooter>
    <oddHeader xml:space="preserve">&amp;C
</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80"/>
  <sheetViews>
    <sheetView showGridLines="0" zoomScaleNormal="100" zoomScalePageLayoutView="90" workbookViewId="0"/>
  </sheetViews>
  <sheetFormatPr defaultRowHeight="15" x14ac:dyDescent="0.25"/>
  <cols>
    <col min="1" max="1" width="100" customWidth="1"/>
  </cols>
  <sheetData>
    <row r="1" spans="1:1" ht="22.15" customHeight="1" x14ac:dyDescent="0.25">
      <c r="A1" s="472" t="s">
        <v>909</v>
      </c>
    </row>
    <row r="2" spans="1:1" ht="15" customHeight="1" x14ac:dyDescent="0.25">
      <c r="A2" s="347" t="s">
        <v>910</v>
      </c>
    </row>
    <row r="3" spans="1:1" ht="7.9" customHeight="1" x14ac:dyDescent="0.25">
      <c r="A3" s="230"/>
    </row>
    <row r="4" spans="1:1" ht="22.15" customHeight="1" x14ac:dyDescent="0.25">
      <c r="A4" s="317" t="s">
        <v>334</v>
      </c>
    </row>
    <row r="5" spans="1:1" ht="7.9" customHeight="1" x14ac:dyDescent="0.25">
      <c r="A5" s="230"/>
    </row>
    <row r="6" spans="1:1" ht="22.15" customHeight="1" x14ac:dyDescent="0.25">
      <c r="A6" s="238" t="s">
        <v>301</v>
      </c>
    </row>
    <row r="7" spans="1:1" ht="42" customHeight="1" x14ac:dyDescent="0.25">
      <c r="A7" s="351" t="s">
        <v>436</v>
      </c>
    </row>
    <row r="8" spans="1:1" ht="76.5" x14ac:dyDescent="0.25">
      <c r="A8" s="349" t="s">
        <v>617</v>
      </c>
    </row>
    <row r="9" spans="1:1" ht="42.6" customHeight="1" x14ac:dyDescent="0.25">
      <c r="A9" s="349" t="s">
        <v>558</v>
      </c>
    </row>
    <row r="10" spans="1:1" ht="29.45" customHeight="1" x14ac:dyDescent="0.25">
      <c r="A10" s="349" t="s">
        <v>557</v>
      </c>
    </row>
    <row r="11" spans="1:1" ht="54" customHeight="1" x14ac:dyDescent="0.25">
      <c r="A11" s="349" t="s">
        <v>556</v>
      </c>
    </row>
    <row r="12" spans="1:1" ht="54.6" customHeight="1" x14ac:dyDescent="0.25">
      <c r="A12" s="349" t="s">
        <v>437</v>
      </c>
    </row>
    <row r="13" spans="1:1" ht="7.9" customHeight="1" x14ac:dyDescent="0.25">
      <c r="A13" s="231"/>
    </row>
    <row r="14" spans="1:1" ht="22.15" customHeight="1" x14ac:dyDescent="0.25">
      <c r="A14" s="238" t="s">
        <v>302</v>
      </c>
    </row>
    <row r="15" spans="1:1" ht="29.45" customHeight="1" x14ac:dyDescent="0.25">
      <c r="A15" s="351" t="s">
        <v>555</v>
      </c>
    </row>
    <row r="16" spans="1:1" ht="81.599999999999994" customHeight="1" x14ac:dyDescent="0.25">
      <c r="A16" s="346" t="s">
        <v>554</v>
      </c>
    </row>
    <row r="17" spans="1:1" ht="107.45" customHeight="1" x14ac:dyDescent="0.25">
      <c r="A17" s="346" t="s">
        <v>618</v>
      </c>
    </row>
    <row r="18" spans="1:1" ht="16.149999999999999" customHeight="1" x14ac:dyDescent="0.25">
      <c r="A18" s="346" t="s">
        <v>438</v>
      </c>
    </row>
    <row r="19" spans="1:1" ht="25.9" customHeight="1" x14ac:dyDescent="0.25">
      <c r="A19" s="344" t="s">
        <v>553</v>
      </c>
    </row>
    <row r="20" spans="1:1" ht="16.149999999999999" customHeight="1" x14ac:dyDescent="0.25">
      <c r="A20" s="344" t="s">
        <v>552</v>
      </c>
    </row>
    <row r="21" spans="1:1" ht="55.15" customHeight="1" x14ac:dyDescent="0.25">
      <c r="A21" s="344" t="s">
        <v>551</v>
      </c>
    </row>
    <row r="22" spans="1:1" ht="25.9" customHeight="1" x14ac:dyDescent="0.25">
      <c r="A22" s="316" t="s">
        <v>550</v>
      </c>
    </row>
    <row r="23" spans="1:1" ht="25.9" customHeight="1" x14ac:dyDescent="0.25">
      <c r="A23" s="344" t="s">
        <v>619</v>
      </c>
    </row>
    <row r="24" spans="1:1" ht="25.5" x14ac:dyDescent="0.25">
      <c r="A24" s="344" t="s">
        <v>759</v>
      </c>
    </row>
    <row r="25" spans="1:1" ht="28.15" customHeight="1" x14ac:dyDescent="0.25">
      <c r="A25" s="344" t="s">
        <v>730</v>
      </c>
    </row>
    <row r="26" spans="1:1" ht="7.9" customHeight="1" x14ac:dyDescent="0.25">
      <c r="A26" s="231"/>
    </row>
    <row r="27" spans="1:1" ht="22.15" customHeight="1" x14ac:dyDescent="0.25">
      <c r="A27" s="238" t="s">
        <v>439</v>
      </c>
    </row>
    <row r="28" spans="1:1" ht="31.9" customHeight="1" x14ac:dyDescent="0.25">
      <c r="A28" s="351" t="s">
        <v>731</v>
      </c>
    </row>
    <row r="29" spans="1:1" ht="69" customHeight="1" x14ac:dyDescent="0.25">
      <c r="A29" s="351" t="s">
        <v>620</v>
      </c>
    </row>
    <row r="30" spans="1:1" ht="28.15" customHeight="1" x14ac:dyDescent="0.25">
      <c r="A30" s="344" t="s">
        <v>549</v>
      </c>
    </row>
    <row r="31" spans="1:1" ht="28.15" customHeight="1" x14ac:dyDescent="0.25">
      <c r="A31" s="344" t="s">
        <v>548</v>
      </c>
    </row>
    <row r="32" spans="1:1" ht="28.15" customHeight="1" x14ac:dyDescent="0.25">
      <c r="A32" s="344" t="s">
        <v>547</v>
      </c>
    </row>
    <row r="33" spans="1:1" ht="15.6" customHeight="1" x14ac:dyDescent="0.25">
      <c r="A33" s="344" t="s">
        <v>546</v>
      </c>
    </row>
    <row r="34" spans="1:1" ht="7.9" customHeight="1" x14ac:dyDescent="0.25">
      <c r="A34" s="231"/>
    </row>
    <row r="35" spans="1:1" ht="22.15" customHeight="1" x14ac:dyDescent="0.25">
      <c r="A35" s="238" t="s">
        <v>545</v>
      </c>
    </row>
    <row r="36" spans="1:1" ht="89.25" x14ac:dyDescent="0.25">
      <c r="A36" s="351" t="s">
        <v>621</v>
      </c>
    </row>
    <row r="37" spans="1:1" ht="7.9" customHeight="1" x14ac:dyDescent="0.25">
      <c r="A37" s="231"/>
    </row>
    <row r="38" spans="1:1" ht="22.15" customHeight="1" x14ac:dyDescent="0.25">
      <c r="A38" s="238" t="s">
        <v>440</v>
      </c>
    </row>
    <row r="39" spans="1:1" ht="82.9" customHeight="1" x14ac:dyDescent="0.25">
      <c r="A39" s="351" t="s">
        <v>733</v>
      </c>
    </row>
    <row r="40" spans="1:1" ht="51" x14ac:dyDescent="0.25">
      <c r="A40" s="351" t="s">
        <v>544</v>
      </c>
    </row>
    <row r="41" spans="1:1" ht="7.9" customHeight="1" x14ac:dyDescent="0.25">
      <c r="A41" s="231"/>
    </row>
    <row r="42" spans="1:1" ht="22.15" customHeight="1" x14ac:dyDescent="0.25">
      <c r="A42" s="238" t="s">
        <v>441</v>
      </c>
    </row>
    <row r="43" spans="1:1" ht="81.599999999999994" customHeight="1" x14ac:dyDescent="0.25">
      <c r="A43" s="351" t="s">
        <v>543</v>
      </c>
    </row>
    <row r="44" spans="1:1" ht="28.9" customHeight="1" x14ac:dyDescent="0.25">
      <c r="A44" s="351" t="s">
        <v>542</v>
      </c>
    </row>
    <row r="45" spans="1:1" ht="16.149999999999999" customHeight="1" x14ac:dyDescent="0.25">
      <c r="A45" s="344" t="s">
        <v>442</v>
      </c>
    </row>
    <row r="46" spans="1:1" ht="16.149999999999999" customHeight="1" x14ac:dyDescent="0.25">
      <c r="A46" s="344" t="s">
        <v>443</v>
      </c>
    </row>
    <row r="47" spans="1:1" ht="16.149999999999999" customHeight="1" x14ac:dyDescent="0.25">
      <c r="A47" s="344" t="s">
        <v>444</v>
      </c>
    </row>
    <row r="48" spans="1:1" ht="51" x14ac:dyDescent="0.25">
      <c r="A48" s="351" t="s">
        <v>541</v>
      </c>
    </row>
    <row r="49" spans="1:1" ht="7.9" customHeight="1" x14ac:dyDescent="0.25">
      <c r="A49" s="231"/>
    </row>
    <row r="50" spans="1:1" ht="22.15" customHeight="1" x14ac:dyDescent="0.25">
      <c r="A50" s="238" t="s">
        <v>445</v>
      </c>
    </row>
    <row r="51" spans="1:1" ht="84" customHeight="1" x14ac:dyDescent="0.25">
      <c r="A51" s="343" t="s">
        <v>622</v>
      </c>
    </row>
    <row r="52" spans="1:1" ht="20.45" customHeight="1" x14ac:dyDescent="0.25"/>
    <row r="75" spans="1:1" ht="15" customHeight="1" x14ac:dyDescent="0.25">
      <c r="A75" s="345" t="s">
        <v>540</v>
      </c>
    </row>
    <row r="76" spans="1:1" ht="42" customHeight="1" x14ac:dyDescent="0.25">
      <c r="A76" s="344" t="s">
        <v>539</v>
      </c>
    </row>
    <row r="77" spans="1:1" ht="28.15" customHeight="1" x14ac:dyDescent="0.25">
      <c r="A77" s="344" t="s">
        <v>538</v>
      </c>
    </row>
    <row r="78" spans="1:1" ht="42" customHeight="1" x14ac:dyDescent="0.25">
      <c r="A78" s="344" t="s">
        <v>537</v>
      </c>
    </row>
    <row r="79" spans="1:1" ht="42" customHeight="1" x14ac:dyDescent="0.25">
      <c r="A79" s="344" t="s">
        <v>734</v>
      </c>
    </row>
    <row r="80" spans="1:1" ht="76.5" x14ac:dyDescent="0.25">
      <c r="A80" s="344" t="s">
        <v>536</v>
      </c>
    </row>
  </sheetData>
  <sheetProtection algorithmName="SHA-512" hashValue="zzfkCP+3mPELS4+BF7ysJECmwy8+z9WeHVsvW/mBy64iq/ahAoEsCahDyBSqGS4cuvNKhcc45VdTun1A98UqdA==" saltValue="UssNFzZ0XhkHU2FKWXaBiA==" spinCount="100000" sheet="1" objects="1" scenarios="1"/>
  <pageMargins left="0.7" right="0.7" top="0.5" bottom="0.5" header="0.3" footer="0.3"/>
  <pageSetup scale="90" orientation="portrait" r:id="rId1"/>
  <headerFooter>
    <oddHeader>&amp;LInput Workbook&amp;CInput Instructions</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207"/>
  <sheetViews>
    <sheetView showGridLines="0" zoomScaleNormal="100" zoomScalePageLayoutView="90" workbookViewId="0"/>
  </sheetViews>
  <sheetFormatPr defaultRowHeight="15" x14ac:dyDescent="0.25"/>
  <cols>
    <col min="1" max="1" width="100" customWidth="1"/>
  </cols>
  <sheetData>
    <row r="1" spans="1:1" ht="22.15" customHeight="1" x14ac:dyDescent="0.25">
      <c r="A1" s="472" t="s">
        <v>909</v>
      </c>
    </row>
    <row r="2" spans="1:1" ht="15" customHeight="1" x14ac:dyDescent="0.25">
      <c r="A2" s="347" t="s">
        <v>910</v>
      </c>
    </row>
    <row r="3" spans="1:1" ht="7.9" customHeight="1" x14ac:dyDescent="0.25">
      <c r="A3" s="230"/>
    </row>
    <row r="4" spans="1:1" ht="22.15" customHeight="1" x14ac:dyDescent="0.25">
      <c r="A4" s="317" t="s">
        <v>595</v>
      </c>
    </row>
    <row r="5" spans="1:1" ht="7.9" customHeight="1" x14ac:dyDescent="0.25">
      <c r="A5" s="230"/>
    </row>
    <row r="6" spans="1:1" ht="15" customHeight="1" x14ac:dyDescent="0.25">
      <c r="A6" s="473" t="s">
        <v>923</v>
      </c>
    </row>
    <row r="7" spans="1:1" ht="15" customHeight="1" x14ac:dyDescent="0.25">
      <c r="A7" s="424" t="s">
        <v>735</v>
      </c>
    </row>
    <row r="8" spans="1:1" ht="15" customHeight="1" x14ac:dyDescent="0.25">
      <c r="A8" s="424" t="s">
        <v>451</v>
      </c>
    </row>
    <row r="9" spans="1:1" ht="15" customHeight="1" x14ac:dyDescent="0.25">
      <c r="A9" s="424" t="s">
        <v>453</v>
      </c>
    </row>
    <row r="10" spans="1:1" ht="15" customHeight="1" x14ac:dyDescent="0.25">
      <c r="A10" s="424" t="s">
        <v>456</v>
      </c>
    </row>
    <row r="11" spans="1:1" ht="15" customHeight="1" x14ac:dyDescent="0.25">
      <c r="A11" s="424" t="s">
        <v>463</v>
      </c>
    </row>
    <row r="12" spans="1:1" ht="15" customHeight="1" x14ac:dyDescent="0.25">
      <c r="A12" s="424" t="s">
        <v>911</v>
      </c>
    </row>
    <row r="13" spans="1:1" ht="15" customHeight="1" x14ac:dyDescent="0.25">
      <c r="A13" s="424" t="s">
        <v>912</v>
      </c>
    </row>
    <row r="14" spans="1:1" ht="15" customHeight="1" x14ac:dyDescent="0.25">
      <c r="A14" s="424" t="s">
        <v>913</v>
      </c>
    </row>
    <row r="15" spans="1:1" ht="15" customHeight="1" x14ac:dyDescent="0.25">
      <c r="A15" s="424" t="s">
        <v>914</v>
      </c>
    </row>
    <row r="16" spans="1:1" ht="15" customHeight="1" x14ac:dyDescent="0.25">
      <c r="A16" s="424" t="s">
        <v>915</v>
      </c>
    </row>
    <row r="17" spans="1:1" ht="15" customHeight="1" x14ac:dyDescent="0.25">
      <c r="A17" s="424" t="s">
        <v>916</v>
      </c>
    </row>
    <row r="18" spans="1:1" ht="15" customHeight="1" x14ac:dyDescent="0.25">
      <c r="A18" s="424" t="s">
        <v>917</v>
      </c>
    </row>
    <row r="19" spans="1:1" ht="15" customHeight="1" x14ac:dyDescent="0.25">
      <c r="A19" s="424" t="s">
        <v>918</v>
      </c>
    </row>
    <row r="20" spans="1:1" ht="15" customHeight="1" x14ac:dyDescent="0.25">
      <c r="A20" s="424" t="s">
        <v>919</v>
      </c>
    </row>
    <row r="21" spans="1:1" ht="15" customHeight="1" x14ac:dyDescent="0.25">
      <c r="A21" s="424" t="s">
        <v>920</v>
      </c>
    </row>
    <row r="22" spans="1:1" ht="15" customHeight="1" x14ac:dyDescent="0.25">
      <c r="A22" s="424" t="s">
        <v>921</v>
      </c>
    </row>
    <row r="23" spans="1:1" ht="15" customHeight="1" x14ac:dyDescent="0.25">
      <c r="A23" s="424" t="s">
        <v>922</v>
      </c>
    </row>
    <row r="24" spans="1:1" ht="7.9" customHeight="1" x14ac:dyDescent="0.25">
      <c r="A24" s="230"/>
    </row>
    <row r="25" spans="1:1" ht="22.15" customHeight="1" x14ac:dyDescent="0.25">
      <c r="A25" s="249" t="s">
        <v>735</v>
      </c>
    </row>
    <row r="26" spans="1:1" ht="51" x14ac:dyDescent="0.25">
      <c r="A26" s="343" t="s">
        <v>623</v>
      </c>
    </row>
    <row r="27" spans="1:1" ht="7.9" customHeight="1" x14ac:dyDescent="0.25">
      <c r="A27" s="231"/>
    </row>
    <row r="28" spans="1:1" ht="22.15" customHeight="1" x14ac:dyDescent="0.25">
      <c r="A28" s="249" t="s">
        <v>451</v>
      </c>
    </row>
    <row r="29" spans="1:1" ht="25.5" x14ac:dyDescent="0.25">
      <c r="A29" s="343" t="s">
        <v>452</v>
      </c>
    </row>
    <row r="30" spans="1:1" ht="7.9" customHeight="1" x14ac:dyDescent="0.25">
      <c r="A30" s="231"/>
    </row>
    <row r="31" spans="1:1" ht="22.15" customHeight="1" x14ac:dyDescent="0.25">
      <c r="A31" s="249" t="s">
        <v>453</v>
      </c>
    </row>
    <row r="32" spans="1:1" ht="45.6" customHeight="1" x14ac:dyDescent="0.25">
      <c r="A32" s="351" t="s">
        <v>624</v>
      </c>
    </row>
    <row r="33" spans="1:1" ht="16.899999999999999" customHeight="1" x14ac:dyDescent="0.25">
      <c r="A33" s="350" t="s">
        <v>454</v>
      </c>
    </row>
    <row r="34" spans="1:1" ht="16.899999999999999" customHeight="1" x14ac:dyDescent="0.25">
      <c r="A34" s="350" t="s">
        <v>455</v>
      </c>
    </row>
    <row r="35" spans="1:1" ht="16.899999999999999" customHeight="1" x14ac:dyDescent="0.25">
      <c r="A35" s="350" t="s">
        <v>736</v>
      </c>
    </row>
    <row r="36" spans="1:1" ht="16.899999999999999" customHeight="1" x14ac:dyDescent="0.25">
      <c r="A36" s="350" t="s">
        <v>737</v>
      </c>
    </row>
    <row r="37" spans="1:1" ht="7.9" customHeight="1" x14ac:dyDescent="0.25">
      <c r="A37" s="231"/>
    </row>
    <row r="38" spans="1:1" ht="22.15" customHeight="1" x14ac:dyDescent="0.25">
      <c r="A38" s="249" t="s">
        <v>456</v>
      </c>
    </row>
    <row r="39" spans="1:1" ht="16.899999999999999" customHeight="1" x14ac:dyDescent="0.25">
      <c r="A39" s="351" t="s">
        <v>457</v>
      </c>
    </row>
    <row r="40" spans="1:1" ht="55.15" customHeight="1" x14ac:dyDescent="0.25">
      <c r="A40" s="350" t="s">
        <v>594</v>
      </c>
    </row>
    <row r="41" spans="1:1" ht="54.75" customHeight="1" x14ac:dyDescent="0.25">
      <c r="A41" s="350" t="s">
        <v>593</v>
      </c>
    </row>
    <row r="42" spans="1:1" ht="42" customHeight="1" x14ac:dyDescent="0.25">
      <c r="A42" s="350" t="s">
        <v>592</v>
      </c>
    </row>
    <row r="43" spans="1:1" ht="43.15" customHeight="1" x14ac:dyDescent="0.25">
      <c r="A43" s="350" t="s">
        <v>591</v>
      </c>
    </row>
    <row r="44" spans="1:1" ht="68.45" customHeight="1" x14ac:dyDescent="0.25">
      <c r="A44" s="350" t="s">
        <v>768</v>
      </c>
    </row>
    <row r="45" spans="1:1" ht="28.9" customHeight="1" x14ac:dyDescent="0.25">
      <c r="A45" s="350" t="s">
        <v>840</v>
      </c>
    </row>
    <row r="46" spans="1:1" ht="16.899999999999999" customHeight="1" x14ac:dyDescent="0.25">
      <c r="A46" s="352" t="s">
        <v>458</v>
      </c>
    </row>
    <row r="47" spans="1:1" ht="16.899999999999999" customHeight="1" x14ac:dyDescent="0.25">
      <c r="A47" s="352" t="s">
        <v>459</v>
      </c>
    </row>
    <row r="48" spans="1:1" ht="16.899999999999999" customHeight="1" x14ac:dyDescent="0.25">
      <c r="A48" s="352" t="s">
        <v>841</v>
      </c>
    </row>
    <row r="49" spans="1:1" ht="55.15" customHeight="1" x14ac:dyDescent="0.25">
      <c r="A49" s="350" t="s">
        <v>590</v>
      </c>
    </row>
    <row r="50" spans="1:1" ht="16.899999999999999" customHeight="1" x14ac:dyDescent="0.25">
      <c r="A50" s="352" t="s">
        <v>460</v>
      </c>
    </row>
    <row r="51" spans="1:1" ht="16.899999999999999" customHeight="1" x14ac:dyDescent="0.25">
      <c r="A51" s="352" t="s">
        <v>461</v>
      </c>
    </row>
    <row r="52" spans="1:1" ht="16.899999999999999" customHeight="1" x14ac:dyDescent="0.25">
      <c r="A52" s="352" t="s">
        <v>841</v>
      </c>
    </row>
    <row r="53" spans="1:1" ht="42" customHeight="1" x14ac:dyDescent="0.25">
      <c r="A53" s="350" t="s">
        <v>769</v>
      </c>
    </row>
    <row r="54" spans="1:1" ht="42" customHeight="1" x14ac:dyDescent="0.25">
      <c r="A54" s="350" t="s">
        <v>770</v>
      </c>
    </row>
    <row r="55" spans="1:1" ht="41.45" customHeight="1" x14ac:dyDescent="0.25">
      <c r="A55" s="350" t="s">
        <v>772</v>
      </c>
    </row>
    <row r="56" spans="1:1" ht="42.6" customHeight="1" x14ac:dyDescent="0.25">
      <c r="A56" s="350" t="s">
        <v>771</v>
      </c>
    </row>
    <row r="57" spans="1:1" ht="7.9" customHeight="1" x14ac:dyDescent="0.25">
      <c r="A57" s="231"/>
    </row>
    <row r="58" spans="1:1" ht="22.15" customHeight="1" x14ac:dyDescent="0.25">
      <c r="A58" s="249" t="s">
        <v>463</v>
      </c>
    </row>
    <row r="59" spans="1:1" ht="29.45" customHeight="1" x14ac:dyDescent="0.25">
      <c r="A59" s="343" t="s">
        <v>773</v>
      </c>
    </row>
    <row r="60" spans="1:1" ht="19.899999999999999" customHeight="1" x14ac:dyDescent="0.25">
      <c r="A60" s="324" t="s">
        <v>589</v>
      </c>
    </row>
    <row r="61" spans="1:1" ht="63.75" x14ac:dyDescent="0.25">
      <c r="A61" s="350" t="s">
        <v>774</v>
      </c>
    </row>
    <row r="62" spans="1:1" ht="55.9" customHeight="1" x14ac:dyDescent="0.25">
      <c r="A62" s="350" t="s">
        <v>588</v>
      </c>
    </row>
    <row r="63" spans="1:1" ht="67.5" customHeight="1" x14ac:dyDescent="0.25">
      <c r="A63" s="350" t="s">
        <v>842</v>
      </c>
    </row>
    <row r="64" spans="1:1" ht="54.6" customHeight="1" x14ac:dyDescent="0.25">
      <c r="A64" s="350" t="s">
        <v>625</v>
      </c>
    </row>
    <row r="65" spans="1:1" ht="7.9" customHeight="1" x14ac:dyDescent="0.25">
      <c r="A65" s="230"/>
    </row>
    <row r="66" spans="1:1" ht="19.899999999999999" customHeight="1" x14ac:dyDescent="0.25">
      <c r="A66" s="324" t="s">
        <v>587</v>
      </c>
    </row>
    <row r="67" spans="1:1" ht="58.15" customHeight="1" x14ac:dyDescent="0.25">
      <c r="A67" s="350" t="s">
        <v>775</v>
      </c>
    </row>
    <row r="68" spans="1:1" ht="19.899999999999999" customHeight="1" x14ac:dyDescent="0.25">
      <c r="A68" s="324" t="s">
        <v>127</v>
      </c>
    </row>
    <row r="69" spans="1:1" ht="76.5" x14ac:dyDescent="0.25">
      <c r="A69" s="350" t="s">
        <v>776</v>
      </c>
    </row>
    <row r="70" spans="1:1" ht="38.25" x14ac:dyDescent="0.25">
      <c r="A70" s="350" t="s">
        <v>777</v>
      </c>
    </row>
    <row r="71" spans="1:1" ht="42.6" customHeight="1" x14ac:dyDescent="0.25">
      <c r="A71" s="350" t="s">
        <v>779</v>
      </c>
    </row>
    <row r="72" spans="1:1" ht="54.6" customHeight="1" x14ac:dyDescent="0.25">
      <c r="A72" s="350" t="s">
        <v>778</v>
      </c>
    </row>
    <row r="73" spans="1:1" ht="7.9" customHeight="1" x14ac:dyDescent="0.25">
      <c r="A73" s="231"/>
    </row>
    <row r="74" spans="1:1" ht="22.15" customHeight="1" x14ac:dyDescent="0.25">
      <c r="A74" s="249" t="s">
        <v>780</v>
      </c>
    </row>
    <row r="75" spans="1:1" ht="28.9" customHeight="1" x14ac:dyDescent="0.25">
      <c r="A75" s="351" t="s">
        <v>586</v>
      </c>
    </row>
    <row r="76" spans="1:1" ht="42" customHeight="1" x14ac:dyDescent="0.25">
      <c r="A76" s="350" t="s">
        <v>781</v>
      </c>
    </row>
    <row r="77" spans="1:1" ht="63.75" x14ac:dyDescent="0.25">
      <c r="A77" s="350" t="s">
        <v>626</v>
      </c>
    </row>
    <row r="78" spans="1:1" ht="55.9" customHeight="1" x14ac:dyDescent="0.25">
      <c r="A78" s="350" t="s">
        <v>585</v>
      </c>
    </row>
    <row r="79" spans="1:1" ht="82.15" customHeight="1" x14ac:dyDescent="0.25">
      <c r="A79" s="350" t="s">
        <v>782</v>
      </c>
    </row>
    <row r="80" spans="1:1" ht="7.9" customHeight="1" x14ac:dyDescent="0.25">
      <c r="A80" s="231"/>
    </row>
    <row r="81" spans="1:1" ht="22.15" customHeight="1" x14ac:dyDescent="0.25">
      <c r="A81" s="249" t="s">
        <v>783</v>
      </c>
    </row>
    <row r="82" spans="1:1" ht="28.9" customHeight="1" x14ac:dyDescent="0.25">
      <c r="A82" s="351" t="s">
        <v>464</v>
      </c>
    </row>
    <row r="83" spans="1:1" ht="15" customHeight="1" x14ac:dyDescent="0.25">
      <c r="A83" s="350" t="s">
        <v>784</v>
      </c>
    </row>
    <row r="84" spans="1:1" ht="28.15" customHeight="1" x14ac:dyDescent="0.25">
      <c r="A84" s="350" t="s">
        <v>785</v>
      </c>
    </row>
    <row r="85" spans="1:1" ht="15" customHeight="1" x14ac:dyDescent="0.25">
      <c r="A85" s="350" t="s">
        <v>786</v>
      </c>
    </row>
    <row r="86" spans="1:1" ht="15" customHeight="1" x14ac:dyDescent="0.25">
      <c r="A86" s="350" t="s">
        <v>787</v>
      </c>
    </row>
    <row r="87" spans="1:1" ht="15.6" customHeight="1" x14ac:dyDescent="0.25">
      <c r="A87" s="350" t="s">
        <v>584</v>
      </c>
    </row>
    <row r="88" spans="1:1" ht="7.9" customHeight="1" x14ac:dyDescent="0.25">
      <c r="A88" s="231"/>
    </row>
    <row r="89" spans="1:1" ht="22.15" customHeight="1" x14ac:dyDescent="0.25">
      <c r="A89" s="249" t="s">
        <v>788</v>
      </c>
    </row>
    <row r="90" spans="1:1" ht="52.5" customHeight="1" x14ac:dyDescent="0.25">
      <c r="A90" s="351" t="s">
        <v>789</v>
      </c>
    </row>
    <row r="91" spans="1:1" ht="28.9" customHeight="1" x14ac:dyDescent="0.25">
      <c r="A91" s="350" t="s">
        <v>583</v>
      </c>
    </row>
    <row r="92" spans="1:1" ht="28.9" customHeight="1" x14ac:dyDescent="0.25">
      <c r="A92" s="350" t="s">
        <v>790</v>
      </c>
    </row>
    <row r="93" spans="1:1" ht="54.6" customHeight="1" x14ac:dyDescent="0.25">
      <c r="A93" s="350" t="s">
        <v>791</v>
      </c>
    </row>
    <row r="94" spans="1:1" ht="63.75" x14ac:dyDescent="0.25">
      <c r="A94" s="350" t="s">
        <v>792</v>
      </c>
    </row>
    <row r="95" spans="1:1" ht="7.9" customHeight="1" x14ac:dyDescent="0.25">
      <c r="A95" s="231"/>
    </row>
    <row r="96" spans="1:1" ht="22.15" customHeight="1" x14ac:dyDescent="0.25">
      <c r="A96" s="249" t="s">
        <v>793</v>
      </c>
    </row>
    <row r="97" spans="1:1" ht="33.6" customHeight="1" x14ac:dyDescent="0.25">
      <c r="A97" s="343" t="s">
        <v>465</v>
      </c>
    </row>
    <row r="98" spans="1:1" ht="19.899999999999999" customHeight="1" x14ac:dyDescent="0.25">
      <c r="A98" s="324" t="s">
        <v>582</v>
      </c>
    </row>
    <row r="99" spans="1:1" ht="69" customHeight="1" x14ac:dyDescent="0.25">
      <c r="A99" s="350" t="s">
        <v>581</v>
      </c>
    </row>
    <row r="100" spans="1:1" ht="54.75" customHeight="1" x14ac:dyDescent="0.25">
      <c r="A100" s="352" t="s">
        <v>580</v>
      </c>
    </row>
    <row r="101" spans="1:1" ht="41.45" customHeight="1" x14ac:dyDescent="0.25">
      <c r="A101" s="352" t="s">
        <v>466</v>
      </c>
    </row>
    <row r="102" spans="1:1" ht="55.9" customHeight="1" x14ac:dyDescent="0.25">
      <c r="A102" s="352" t="s">
        <v>467</v>
      </c>
    </row>
    <row r="103" spans="1:1" ht="55.9" customHeight="1" x14ac:dyDescent="0.25">
      <c r="A103" s="352" t="s">
        <v>794</v>
      </c>
    </row>
    <row r="104" spans="1:1" ht="63.75" x14ac:dyDescent="0.25">
      <c r="A104" s="350" t="s">
        <v>579</v>
      </c>
    </row>
    <row r="105" spans="1:1" ht="29.45" customHeight="1" x14ac:dyDescent="0.25">
      <c r="A105" s="352" t="s">
        <v>468</v>
      </c>
    </row>
    <row r="106" spans="1:1" ht="29.45" customHeight="1" x14ac:dyDescent="0.25">
      <c r="A106" s="352" t="s">
        <v>469</v>
      </c>
    </row>
    <row r="107" spans="1:1" ht="54.6" customHeight="1" x14ac:dyDescent="0.25">
      <c r="A107" s="352" t="s">
        <v>843</v>
      </c>
    </row>
    <row r="108" spans="1:1" ht="76.5" x14ac:dyDescent="0.25">
      <c r="A108" s="352" t="s">
        <v>627</v>
      </c>
    </row>
    <row r="109" spans="1:1" ht="28.9" customHeight="1" x14ac:dyDescent="0.25">
      <c r="A109" s="348" t="s">
        <v>485</v>
      </c>
    </row>
    <row r="110" spans="1:1" ht="68.45" customHeight="1" x14ac:dyDescent="0.25">
      <c r="A110" s="350" t="s">
        <v>578</v>
      </c>
    </row>
    <row r="111" spans="1:1" ht="19.899999999999999" customHeight="1" x14ac:dyDescent="0.25">
      <c r="A111" s="324" t="s">
        <v>577</v>
      </c>
    </row>
    <row r="112" spans="1:1" ht="122.45" customHeight="1" x14ac:dyDescent="0.25">
      <c r="A112" s="350" t="s">
        <v>795</v>
      </c>
    </row>
    <row r="113" spans="1:1" ht="55.5" customHeight="1" x14ac:dyDescent="0.25">
      <c r="A113" s="350" t="s">
        <v>796</v>
      </c>
    </row>
    <row r="114" spans="1:1" ht="69.599999999999994" customHeight="1" x14ac:dyDescent="0.25">
      <c r="A114" s="350" t="s">
        <v>797</v>
      </c>
    </row>
    <row r="115" spans="1:1" ht="42.6" customHeight="1" x14ac:dyDescent="0.25">
      <c r="A115" s="350" t="s">
        <v>798</v>
      </c>
    </row>
    <row r="116" spans="1:1" ht="54" customHeight="1" x14ac:dyDescent="0.25">
      <c r="A116" s="350" t="s">
        <v>799</v>
      </c>
    </row>
    <row r="117" spans="1:1" ht="67.900000000000006" customHeight="1" x14ac:dyDescent="0.25">
      <c r="A117" s="350" t="s">
        <v>800</v>
      </c>
    </row>
    <row r="118" spans="1:1" ht="81.599999999999994" customHeight="1" x14ac:dyDescent="0.25">
      <c r="A118" s="350" t="s">
        <v>801</v>
      </c>
    </row>
    <row r="119" spans="1:1" ht="16.899999999999999" customHeight="1" x14ac:dyDescent="0.25">
      <c r="A119" s="352" t="s">
        <v>576</v>
      </c>
    </row>
    <row r="120" spans="1:1" ht="47.25" customHeight="1" x14ac:dyDescent="0.25">
      <c r="A120" s="352" t="s">
        <v>802</v>
      </c>
    </row>
    <row r="121" spans="1:1" ht="19.899999999999999" customHeight="1" x14ac:dyDescent="0.25">
      <c r="A121" s="324" t="s">
        <v>127</v>
      </c>
    </row>
    <row r="122" spans="1:1" ht="82.15" customHeight="1" x14ac:dyDescent="0.25">
      <c r="A122" s="350" t="s">
        <v>803</v>
      </c>
    </row>
    <row r="123" spans="1:1" ht="41.45" customHeight="1" x14ac:dyDescent="0.25">
      <c r="A123" s="350" t="s">
        <v>804</v>
      </c>
    </row>
    <row r="124" spans="1:1" ht="42" customHeight="1" x14ac:dyDescent="0.25">
      <c r="A124" s="350" t="s">
        <v>806</v>
      </c>
    </row>
    <row r="125" spans="1:1" ht="42" customHeight="1" x14ac:dyDescent="0.25">
      <c r="A125" s="350" t="s">
        <v>805</v>
      </c>
    </row>
    <row r="126" spans="1:1" ht="7.9" customHeight="1" x14ac:dyDescent="0.25">
      <c r="A126" s="231"/>
    </row>
    <row r="127" spans="1:1" ht="22.15" customHeight="1" x14ac:dyDescent="0.25">
      <c r="A127" s="249" t="s">
        <v>807</v>
      </c>
    </row>
    <row r="128" spans="1:1" ht="30.6" customHeight="1" x14ac:dyDescent="0.25">
      <c r="A128" s="343" t="s">
        <v>575</v>
      </c>
    </row>
    <row r="129" spans="1:1" ht="7.9" customHeight="1" x14ac:dyDescent="0.25">
      <c r="A129" s="231"/>
    </row>
    <row r="130" spans="1:1" ht="7.9" customHeight="1" x14ac:dyDescent="0.25">
      <c r="A130" s="231"/>
    </row>
    <row r="131" spans="1:1" ht="7.9" customHeight="1" x14ac:dyDescent="0.25">
      <c r="A131" s="231"/>
    </row>
    <row r="132" spans="1:1" ht="19.899999999999999" customHeight="1" x14ac:dyDescent="0.25">
      <c r="A132" s="324" t="s">
        <v>470</v>
      </c>
    </row>
    <row r="133" spans="1:1" ht="63.75" x14ac:dyDescent="0.25">
      <c r="A133" s="350" t="s">
        <v>574</v>
      </c>
    </row>
    <row r="134" spans="1:1" ht="63.75" customHeight="1" x14ac:dyDescent="0.25">
      <c r="A134" s="352" t="s">
        <v>471</v>
      </c>
    </row>
    <row r="135" spans="1:1" ht="51" customHeight="1" x14ac:dyDescent="0.25">
      <c r="A135" s="352" t="s">
        <v>615</v>
      </c>
    </row>
    <row r="136" spans="1:1" ht="69" customHeight="1" x14ac:dyDescent="0.25">
      <c r="A136" s="352" t="s">
        <v>472</v>
      </c>
    </row>
    <row r="137" spans="1:1" ht="51" x14ac:dyDescent="0.25">
      <c r="A137" s="352" t="s">
        <v>808</v>
      </c>
    </row>
    <row r="138" spans="1:1" ht="63.75" x14ac:dyDescent="0.25">
      <c r="A138" s="350" t="s">
        <v>809</v>
      </c>
    </row>
    <row r="139" spans="1:1" ht="42.6" customHeight="1" x14ac:dyDescent="0.25">
      <c r="A139" s="352" t="s">
        <v>616</v>
      </c>
    </row>
    <row r="140" spans="1:1" ht="28.15" customHeight="1" x14ac:dyDescent="0.25">
      <c r="A140" s="352" t="s">
        <v>473</v>
      </c>
    </row>
    <row r="141" spans="1:1" ht="38.25" customHeight="1" x14ac:dyDescent="0.25">
      <c r="A141" s="350" t="s">
        <v>474</v>
      </c>
    </row>
    <row r="142" spans="1:1" ht="19.899999999999999" customHeight="1" x14ac:dyDescent="0.25">
      <c r="A142" s="324" t="s">
        <v>475</v>
      </c>
    </row>
    <row r="143" spans="1:1" ht="119.45" customHeight="1" x14ac:dyDescent="0.25">
      <c r="A143" s="350" t="s">
        <v>810</v>
      </c>
    </row>
    <row r="144" spans="1:1" ht="42.6" customHeight="1" x14ac:dyDescent="0.25">
      <c r="A144" s="350" t="s">
        <v>811</v>
      </c>
    </row>
    <row r="145" spans="1:1" ht="42.6" customHeight="1" x14ac:dyDescent="0.25">
      <c r="A145" s="350" t="s">
        <v>812</v>
      </c>
    </row>
    <row r="146" spans="1:1" ht="7.9" customHeight="1" x14ac:dyDescent="0.25">
      <c r="A146" s="231"/>
    </row>
    <row r="147" spans="1:1" ht="22.15" customHeight="1" x14ac:dyDescent="0.25">
      <c r="A147" s="249" t="s">
        <v>813</v>
      </c>
    </row>
    <row r="148" spans="1:1" ht="16.899999999999999" customHeight="1" x14ac:dyDescent="0.25">
      <c r="A148" s="351" t="s">
        <v>573</v>
      </c>
    </row>
    <row r="149" spans="1:1" ht="51" customHeight="1" x14ac:dyDescent="0.25">
      <c r="A149" s="350" t="s">
        <v>572</v>
      </c>
    </row>
    <row r="150" spans="1:1" ht="27.6" customHeight="1" x14ac:dyDescent="0.25">
      <c r="A150" s="352" t="s">
        <v>814</v>
      </c>
    </row>
    <row r="151" spans="1:1" ht="25.5" x14ac:dyDescent="0.25">
      <c r="A151" s="352" t="s">
        <v>815</v>
      </c>
    </row>
    <row r="152" spans="1:1" ht="42" customHeight="1" x14ac:dyDescent="0.25">
      <c r="A152" s="350" t="s">
        <v>628</v>
      </c>
    </row>
    <row r="153" spans="1:1" ht="51" x14ac:dyDescent="0.25">
      <c r="A153" s="350" t="s">
        <v>571</v>
      </c>
    </row>
    <row r="154" spans="1:1" ht="42.6" customHeight="1" x14ac:dyDescent="0.25">
      <c r="A154" s="350" t="s">
        <v>816</v>
      </c>
    </row>
    <row r="155" spans="1:1" ht="27.6" customHeight="1" x14ac:dyDescent="0.25">
      <c r="A155" s="352" t="s">
        <v>476</v>
      </c>
    </row>
    <row r="156" spans="1:1" ht="38.25" x14ac:dyDescent="0.25">
      <c r="A156" s="352" t="s">
        <v>817</v>
      </c>
    </row>
    <row r="157" spans="1:1" ht="51" x14ac:dyDescent="0.25">
      <c r="A157" s="350" t="s">
        <v>818</v>
      </c>
    </row>
    <row r="158" spans="1:1" ht="7.9" customHeight="1" x14ac:dyDescent="0.25">
      <c r="A158" s="231"/>
    </row>
    <row r="159" spans="1:1" ht="22.15" customHeight="1" x14ac:dyDescent="0.25">
      <c r="A159" s="249" t="s">
        <v>819</v>
      </c>
    </row>
    <row r="160" spans="1:1" ht="16.899999999999999" customHeight="1" x14ac:dyDescent="0.25">
      <c r="A160" s="351" t="s">
        <v>477</v>
      </c>
    </row>
    <row r="161" spans="1:1" ht="25.5" x14ac:dyDescent="0.25">
      <c r="A161" s="350" t="s">
        <v>820</v>
      </c>
    </row>
    <row r="162" spans="1:1" ht="66.599999999999994" customHeight="1" x14ac:dyDescent="0.25">
      <c r="A162" s="350" t="s">
        <v>821</v>
      </c>
    </row>
    <row r="163" spans="1:1" ht="38.25" x14ac:dyDescent="0.25">
      <c r="A163" s="350" t="s">
        <v>822</v>
      </c>
    </row>
    <row r="164" spans="1:1" ht="15" customHeight="1" x14ac:dyDescent="0.25">
      <c r="A164" s="231"/>
    </row>
    <row r="165" spans="1:1" ht="22.15" customHeight="1" x14ac:dyDescent="0.25">
      <c r="A165" s="249" t="s">
        <v>823</v>
      </c>
    </row>
    <row r="166" spans="1:1" ht="54.6" customHeight="1" x14ac:dyDescent="0.25">
      <c r="A166" s="351" t="s">
        <v>570</v>
      </c>
    </row>
    <row r="167" spans="1:1" ht="55.9" customHeight="1" x14ac:dyDescent="0.25">
      <c r="A167" s="350" t="s">
        <v>824</v>
      </c>
    </row>
    <row r="168" spans="1:1" ht="63.75" x14ac:dyDescent="0.25">
      <c r="A168" s="350" t="s">
        <v>825</v>
      </c>
    </row>
    <row r="169" spans="1:1" ht="69" customHeight="1" x14ac:dyDescent="0.25">
      <c r="A169" s="350" t="s">
        <v>826</v>
      </c>
    </row>
    <row r="170" spans="1:1" ht="69" customHeight="1" x14ac:dyDescent="0.25">
      <c r="A170" s="350" t="s">
        <v>827</v>
      </c>
    </row>
    <row r="171" spans="1:1" ht="84" customHeight="1" x14ac:dyDescent="0.25">
      <c r="A171" s="350" t="s">
        <v>828</v>
      </c>
    </row>
    <row r="172" spans="1:1" ht="27.6" customHeight="1" x14ac:dyDescent="0.25">
      <c r="A172" s="352" t="s">
        <v>569</v>
      </c>
    </row>
    <row r="173" spans="1:1" ht="27.6" customHeight="1" x14ac:dyDescent="0.25">
      <c r="A173" s="352" t="s">
        <v>629</v>
      </c>
    </row>
    <row r="174" spans="1:1" ht="102" x14ac:dyDescent="0.25">
      <c r="A174" s="350" t="s">
        <v>829</v>
      </c>
    </row>
    <row r="175" spans="1:1" ht="72" customHeight="1" x14ac:dyDescent="0.25">
      <c r="A175" s="350" t="s">
        <v>830</v>
      </c>
    </row>
    <row r="176" spans="1:1" ht="7.9" customHeight="1" x14ac:dyDescent="0.25">
      <c r="A176" s="231"/>
    </row>
    <row r="177" spans="1:1" ht="22.15" customHeight="1" x14ac:dyDescent="0.25">
      <c r="A177" s="249" t="s">
        <v>831</v>
      </c>
    </row>
    <row r="178" spans="1:1" ht="54.6" customHeight="1" x14ac:dyDescent="0.25">
      <c r="A178" s="351" t="s">
        <v>568</v>
      </c>
    </row>
    <row r="179" spans="1:1" ht="56.45" customHeight="1" x14ac:dyDescent="0.25">
      <c r="A179" s="350" t="s">
        <v>832</v>
      </c>
    </row>
    <row r="180" spans="1:1" ht="56.45" customHeight="1" x14ac:dyDescent="0.25">
      <c r="A180" s="350" t="s">
        <v>833</v>
      </c>
    </row>
    <row r="181" spans="1:1" ht="114.75" x14ac:dyDescent="0.25">
      <c r="A181" s="350" t="s">
        <v>834</v>
      </c>
    </row>
    <row r="182" spans="1:1" ht="7.9" customHeight="1" x14ac:dyDescent="0.25">
      <c r="A182" s="231"/>
    </row>
    <row r="183" spans="1:1" ht="22.15" customHeight="1" x14ac:dyDescent="0.25">
      <c r="A183" s="249" t="s">
        <v>567</v>
      </c>
    </row>
    <row r="184" spans="1:1" ht="30" customHeight="1" x14ac:dyDescent="0.25">
      <c r="A184" s="351" t="s">
        <v>835</v>
      </c>
    </row>
    <row r="185" spans="1:1" ht="55.15" customHeight="1" x14ac:dyDescent="0.25">
      <c r="A185" s="350" t="s">
        <v>566</v>
      </c>
    </row>
    <row r="186" spans="1:1" ht="44.45" customHeight="1" x14ac:dyDescent="0.25">
      <c r="A186" s="350" t="s">
        <v>478</v>
      </c>
    </row>
    <row r="187" spans="1:1" ht="41.45" customHeight="1" x14ac:dyDescent="0.25">
      <c r="A187" s="352" t="s">
        <v>565</v>
      </c>
    </row>
    <row r="188" spans="1:1" ht="41.45" customHeight="1" x14ac:dyDescent="0.25">
      <c r="A188" s="352" t="s">
        <v>479</v>
      </c>
    </row>
    <row r="189" spans="1:1" ht="94.5" customHeight="1" x14ac:dyDescent="0.25">
      <c r="A189" s="352" t="s">
        <v>630</v>
      </c>
    </row>
    <row r="190" spans="1:1" ht="74.25" customHeight="1" x14ac:dyDescent="0.25">
      <c r="A190" s="350" t="s">
        <v>564</v>
      </c>
    </row>
    <row r="191" spans="1:1" ht="7.9" customHeight="1" x14ac:dyDescent="0.25">
      <c r="A191" s="231"/>
    </row>
    <row r="192" spans="1:1" ht="22.15" customHeight="1" x14ac:dyDescent="0.25">
      <c r="A192" s="249" t="s">
        <v>480</v>
      </c>
    </row>
    <row r="193" spans="1:1" ht="89.25" x14ac:dyDescent="0.25">
      <c r="A193" s="351" t="s">
        <v>836</v>
      </c>
    </row>
    <row r="194" spans="1:1" ht="38.25" x14ac:dyDescent="0.25">
      <c r="A194" s="351" t="s">
        <v>837</v>
      </c>
    </row>
    <row r="195" spans="1:1" ht="41.45" customHeight="1" x14ac:dyDescent="0.25">
      <c r="A195" s="350" t="s">
        <v>563</v>
      </c>
    </row>
    <row r="196" spans="1:1" ht="55.15" customHeight="1" x14ac:dyDescent="0.25">
      <c r="A196" s="352" t="s">
        <v>838</v>
      </c>
    </row>
    <row r="197" spans="1:1" ht="41.45" customHeight="1" x14ac:dyDescent="0.25">
      <c r="A197" s="352" t="s">
        <v>481</v>
      </c>
    </row>
    <row r="198" spans="1:1" ht="42.6" customHeight="1" x14ac:dyDescent="0.25">
      <c r="A198" s="352" t="s">
        <v>562</v>
      </c>
    </row>
    <row r="199" spans="1:1" ht="42.6" customHeight="1" x14ac:dyDescent="0.25">
      <c r="A199" s="350" t="s">
        <v>482</v>
      </c>
    </row>
    <row r="200" spans="1:1" ht="54.6" customHeight="1" x14ac:dyDescent="0.25">
      <c r="A200" s="352" t="s">
        <v>839</v>
      </c>
    </row>
    <row r="201" spans="1:1" ht="41.45" customHeight="1" x14ac:dyDescent="0.25">
      <c r="A201" s="352" t="s">
        <v>483</v>
      </c>
    </row>
    <row r="202" spans="1:1" ht="30" customHeight="1" x14ac:dyDescent="0.25">
      <c r="A202" s="352" t="s">
        <v>631</v>
      </c>
    </row>
    <row r="203" spans="1:1" ht="7.9" customHeight="1" x14ac:dyDescent="0.25">
      <c r="A203" s="231"/>
    </row>
    <row r="204" spans="1:1" ht="22.15" customHeight="1" x14ac:dyDescent="0.25">
      <c r="A204" s="249" t="s">
        <v>484</v>
      </c>
    </row>
    <row r="205" spans="1:1" ht="28.15" customHeight="1" x14ac:dyDescent="0.25">
      <c r="A205" s="351" t="s">
        <v>561</v>
      </c>
    </row>
    <row r="206" spans="1:1" ht="109.15" customHeight="1" x14ac:dyDescent="0.25">
      <c r="A206" s="350" t="s">
        <v>560</v>
      </c>
    </row>
    <row r="207" spans="1:1" ht="110.45" customHeight="1" x14ac:dyDescent="0.25">
      <c r="A207" s="350" t="s">
        <v>559</v>
      </c>
    </row>
  </sheetData>
  <sheetProtection algorithmName="SHA-512" hashValue="wu9SzQqLzHccrCU2iLGgCUMrWc7YT4bsNR5SKNZmCCPnmCYSVzpBbFCLz0Ke0XrOInT1Hbv9ovihNxvf55KXUA==" saltValue="SORlpwljRSnpwcWvqmFp4A==" spinCount="100000" sheet="1" objects="1" scenarios="1"/>
  <pageMargins left="0.7" right="0.7" top="0.5" bottom="0.5" header="0.3" footer="0.3"/>
  <pageSetup scale="90" orientation="portrait" r:id="rId1"/>
  <headerFooter>
    <oddHeader>&amp;LInput Workbook&amp;CDetailed Notes and Explanations</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A1:W249"/>
  <sheetViews>
    <sheetView zoomScale="70" zoomScaleNormal="70" zoomScaleSheetLayoutView="75" zoomScalePageLayoutView="60" workbookViewId="0">
      <pane ySplit="6" topLeftCell="A7" activePane="bottomLeft" state="frozen"/>
      <selection pane="bottomLeft"/>
    </sheetView>
  </sheetViews>
  <sheetFormatPr defaultColWidth="2.5703125" defaultRowHeight="15" x14ac:dyDescent="0.25"/>
  <cols>
    <col min="1" max="1" width="48.5703125" customWidth="1"/>
    <col min="2" max="2" width="10.85546875" customWidth="1"/>
    <col min="3" max="23" width="10.42578125" customWidth="1"/>
  </cols>
  <sheetData>
    <row r="1" spans="1:23" x14ac:dyDescent="0.25">
      <c r="A1" s="26"/>
      <c r="B1" s="7"/>
      <c r="C1" s="7"/>
      <c r="D1" s="7"/>
      <c r="E1" s="7"/>
      <c r="F1" s="7"/>
      <c r="G1" s="7"/>
      <c r="H1" s="7"/>
      <c r="I1" s="7"/>
      <c r="J1" s="7"/>
      <c r="K1" s="7"/>
      <c r="L1" s="7"/>
      <c r="M1" s="7"/>
      <c r="N1" s="7"/>
      <c r="O1" s="7"/>
      <c r="P1" s="7"/>
      <c r="W1" s="2" t="str">
        <f>General!A4</f>
        <v>Spreadsheets for Environmental Footprint Analysis (SEFA) Version 3.0, November 2019</v>
      </c>
    </row>
    <row r="2" spans="1:23" x14ac:dyDescent="0.25">
      <c r="A2" s="26"/>
      <c r="B2" s="7"/>
      <c r="C2" s="7"/>
      <c r="D2" s="7"/>
      <c r="E2" s="7"/>
      <c r="F2" s="7"/>
      <c r="G2" s="7"/>
      <c r="H2" s="7"/>
      <c r="I2" s="7"/>
      <c r="J2" s="7"/>
      <c r="K2" s="7"/>
      <c r="L2" s="7"/>
      <c r="M2" s="7"/>
      <c r="N2" s="7"/>
      <c r="O2" s="7"/>
      <c r="P2" s="7"/>
      <c r="W2" s="2" t="e">
        <f ca="1">CONCATENATE(General!$A3," - ", General!$A6)</f>
        <v>#REF!</v>
      </c>
    </row>
    <row r="3" spans="1:23" ht="15.75" thickBot="1" x14ac:dyDescent="0.3">
      <c r="A3" s="474" t="s">
        <v>337</v>
      </c>
      <c r="B3" s="474"/>
      <c r="C3" s="474"/>
      <c r="D3" s="474"/>
      <c r="E3" s="474"/>
      <c r="F3" s="474"/>
      <c r="G3" s="474"/>
      <c r="H3" s="474"/>
      <c r="I3" s="474"/>
      <c r="J3" s="474"/>
      <c r="K3" s="474"/>
      <c r="L3" s="474"/>
      <c r="M3" s="474"/>
      <c r="N3" s="474"/>
      <c r="O3" s="474"/>
      <c r="P3" s="474"/>
      <c r="Q3" s="474"/>
      <c r="R3" s="474"/>
      <c r="S3" s="474"/>
      <c r="T3" s="474"/>
      <c r="U3" s="474"/>
      <c r="V3" s="474"/>
      <c r="W3" s="474"/>
    </row>
    <row r="4" spans="1:23" x14ac:dyDescent="0.25">
      <c r="A4" s="495" t="s">
        <v>509</v>
      </c>
      <c r="B4" s="499"/>
      <c r="C4" s="271">
        <f ca="1">IFERROR(INDIRECT(CONCATENATE("'",C$6,"'!",ADDRESS(ROW($K$4),COLUMN($K$4),1))),"")</f>
        <v>1</v>
      </c>
      <c r="D4" s="272">
        <v>2</v>
      </c>
      <c r="E4" s="272">
        <v>3</v>
      </c>
      <c r="F4" s="272">
        <v>4</v>
      </c>
      <c r="G4" s="272">
        <v>5</v>
      </c>
      <c r="H4" s="272">
        <v>6</v>
      </c>
      <c r="I4" s="272" t="str">
        <f t="shared" ref="I4:P4" ca="1" si="0">IFERROR(INDIRECT(CONCATENATE("'",I$6,"'!",ADDRESS(ROW($K$4),COLUMN($K$4),1))),"")</f>
        <v/>
      </c>
      <c r="J4" s="272" t="str">
        <f t="shared" ca="1" si="0"/>
        <v/>
      </c>
      <c r="K4" s="272" t="str">
        <f t="shared" ca="1" si="0"/>
        <v/>
      </c>
      <c r="L4" s="272" t="str">
        <f t="shared" ca="1" si="0"/>
        <v/>
      </c>
      <c r="M4" s="272" t="str">
        <f t="shared" ca="1" si="0"/>
        <v/>
      </c>
      <c r="N4" s="272" t="str">
        <f t="shared" ca="1" si="0"/>
        <v/>
      </c>
      <c r="O4" s="272" t="str">
        <f t="shared" ca="1" si="0"/>
        <v/>
      </c>
      <c r="P4" s="299" t="str">
        <f t="shared" ca="1" si="0"/>
        <v/>
      </c>
      <c r="Q4" s="495" t="s">
        <v>738</v>
      </c>
      <c r="R4" s="496"/>
      <c r="S4" s="496"/>
      <c r="T4" s="496"/>
      <c r="U4" s="496"/>
      <c r="V4" s="496"/>
      <c r="W4" s="500" t="s">
        <v>0</v>
      </c>
    </row>
    <row r="5" spans="1:23" ht="31.9" customHeight="1" x14ac:dyDescent="0.25">
      <c r="A5" s="497" t="s">
        <v>5</v>
      </c>
      <c r="B5" s="498"/>
      <c r="C5" s="492" t="s">
        <v>711</v>
      </c>
      <c r="D5" s="493"/>
      <c r="E5" s="493"/>
      <c r="F5" s="493"/>
      <c r="G5" s="493"/>
      <c r="H5" s="493"/>
      <c r="I5" s="493"/>
      <c r="J5" s="493"/>
      <c r="K5" s="493"/>
      <c r="L5" s="493"/>
      <c r="M5" s="493"/>
      <c r="N5" s="493"/>
      <c r="O5" s="493"/>
      <c r="P5" s="494"/>
      <c r="Q5" s="497"/>
      <c r="R5" s="487"/>
      <c r="S5" s="487"/>
      <c r="T5" s="487"/>
      <c r="U5" s="487"/>
      <c r="V5" s="487"/>
      <c r="W5" s="501"/>
    </row>
    <row r="6" spans="1:23" ht="46.15" customHeight="1" thickBot="1" x14ac:dyDescent="0.3">
      <c r="A6" s="497"/>
      <c r="B6" s="498"/>
      <c r="C6" s="415" t="s">
        <v>495</v>
      </c>
      <c r="D6" s="416" t="s">
        <v>496</v>
      </c>
      <c r="E6" s="416" t="s">
        <v>497</v>
      </c>
      <c r="F6" s="416" t="s">
        <v>498</v>
      </c>
      <c r="G6" s="416" t="s">
        <v>499</v>
      </c>
      <c r="H6" s="416" t="s">
        <v>500</v>
      </c>
      <c r="I6" s="416" t="s">
        <v>501</v>
      </c>
      <c r="J6" s="416" t="s">
        <v>502</v>
      </c>
      <c r="K6" s="416" t="s">
        <v>503</v>
      </c>
      <c r="L6" s="416" t="s">
        <v>504</v>
      </c>
      <c r="M6" s="416" t="s">
        <v>505</v>
      </c>
      <c r="N6" s="416" t="s">
        <v>506</v>
      </c>
      <c r="O6" s="416" t="s">
        <v>507</v>
      </c>
      <c r="P6" s="417" t="s">
        <v>508</v>
      </c>
      <c r="Q6" s="261">
        <v>1</v>
      </c>
      <c r="R6" s="101">
        <v>2</v>
      </c>
      <c r="S6" s="101">
        <v>3</v>
      </c>
      <c r="T6" s="101">
        <v>4</v>
      </c>
      <c r="U6" s="101">
        <v>5</v>
      </c>
      <c r="V6" s="101">
        <v>6</v>
      </c>
      <c r="W6" s="501"/>
    </row>
    <row r="7" spans="1:23" x14ac:dyDescent="0.25">
      <c r="A7" s="274" t="s">
        <v>95</v>
      </c>
      <c r="B7" s="414"/>
      <c r="C7" s="418"/>
      <c r="D7" s="419"/>
      <c r="E7" s="419"/>
      <c r="F7" s="419"/>
      <c r="G7" s="419"/>
      <c r="H7" s="419"/>
      <c r="I7" s="419"/>
      <c r="J7" s="419"/>
      <c r="K7" s="419"/>
      <c r="L7" s="419"/>
      <c r="M7" s="419"/>
      <c r="N7" s="419"/>
      <c r="O7" s="419"/>
      <c r="P7" s="420"/>
      <c r="Q7" s="262"/>
      <c r="R7" s="51"/>
      <c r="S7" s="51"/>
      <c r="T7" s="51"/>
      <c r="U7" s="51"/>
      <c r="V7" s="51"/>
      <c r="W7" s="273"/>
    </row>
    <row r="8" spans="1:23" ht="15.75" thickBot="1" x14ac:dyDescent="0.3">
      <c r="A8" s="275" t="s">
        <v>287</v>
      </c>
      <c r="B8" s="376"/>
      <c r="C8" s="377"/>
      <c r="D8" s="378"/>
      <c r="E8" s="378"/>
      <c r="F8" s="378"/>
      <c r="G8" s="378"/>
      <c r="H8" s="378"/>
      <c r="I8" s="378"/>
      <c r="J8" s="378"/>
      <c r="K8" s="378"/>
      <c r="L8" s="378"/>
      <c r="M8" s="378"/>
      <c r="N8" s="378"/>
      <c r="O8" s="378"/>
      <c r="P8" s="421"/>
      <c r="Q8" s="262"/>
      <c r="R8" s="51"/>
      <c r="S8" s="51"/>
      <c r="T8" s="51"/>
      <c r="U8" s="51"/>
      <c r="V8" s="51"/>
      <c r="W8" s="273"/>
    </row>
    <row r="9" spans="1:23" x14ac:dyDescent="0.25">
      <c r="A9" s="276" t="s">
        <v>399</v>
      </c>
      <c r="B9" s="376" t="s">
        <v>135</v>
      </c>
      <c r="C9" s="381">
        <f ca="1">IFERROR(INDIRECT(CONCATENATE("'",C$6,"'!",ADDRESS(ROW(A9)+208,6,4))),"")</f>
        <v>0</v>
      </c>
      <c r="D9" s="382" t="str">
        <f t="shared" ref="D9:P14" ca="1" si="1">IFERROR(INDIRECT(CONCATENATE("'",D$6,"'!",ADDRESS(ROW(B9)+208,6,4))),"")</f>
        <v/>
      </c>
      <c r="E9" s="382" t="str">
        <f t="shared" ca="1" si="1"/>
        <v/>
      </c>
      <c r="F9" s="382" t="str">
        <f t="shared" ca="1" si="1"/>
        <v/>
      </c>
      <c r="G9" s="382" t="str">
        <f t="shared" ca="1" si="1"/>
        <v/>
      </c>
      <c r="H9" s="382" t="str">
        <f t="shared" ca="1" si="1"/>
        <v/>
      </c>
      <c r="I9" s="382" t="str">
        <f t="shared" ca="1" si="1"/>
        <v/>
      </c>
      <c r="J9" s="382" t="str">
        <f t="shared" ca="1" si="1"/>
        <v/>
      </c>
      <c r="K9" s="382" t="str">
        <f t="shared" ca="1" si="1"/>
        <v/>
      </c>
      <c r="L9" s="382" t="str">
        <f t="shared" ca="1" si="1"/>
        <v/>
      </c>
      <c r="M9" s="382" t="str">
        <f t="shared" ca="1" si="1"/>
        <v/>
      </c>
      <c r="N9" s="382" t="str">
        <f t="shared" ca="1" si="1"/>
        <v/>
      </c>
      <c r="O9" s="382" t="str">
        <f t="shared" ca="1" si="1"/>
        <v/>
      </c>
      <c r="P9" s="383" t="str">
        <f t="shared" ca="1" si="1"/>
        <v/>
      </c>
      <c r="Q9" s="362">
        <f ca="1">SUMIF($C$4:$P$4,"="&amp;Q$6,$C9:$P9)</f>
        <v>0</v>
      </c>
      <c r="R9" s="41">
        <f t="shared" ref="Q9:V14" ca="1" si="2">SUMIF($C$4:$P$4,"="&amp;R$6,$C9:$P9)</f>
        <v>0</v>
      </c>
      <c r="S9" s="41">
        <f t="shared" ca="1" si="2"/>
        <v>0</v>
      </c>
      <c r="T9" s="41">
        <f t="shared" ca="1" si="2"/>
        <v>0</v>
      </c>
      <c r="U9" s="41">
        <f t="shared" ca="1" si="2"/>
        <v>0</v>
      </c>
      <c r="V9" s="41">
        <f t="shared" ca="1" si="2"/>
        <v>0</v>
      </c>
      <c r="W9" s="264">
        <f ca="1">SUM(Q9:V9)</f>
        <v>0</v>
      </c>
    </row>
    <row r="10" spans="1:23" x14ac:dyDescent="0.25">
      <c r="A10" s="276" t="s">
        <v>124</v>
      </c>
      <c r="B10" s="376" t="s">
        <v>136</v>
      </c>
      <c r="C10" s="263">
        <f t="shared" ref="C10:C45" ca="1" si="3">IFERROR(INDIRECT(CONCATENATE("'",C$6,"'!",ADDRESS(ROW(A10)+208,6,4))),"")</f>
        <v>0</v>
      </c>
      <c r="D10" s="41" t="str">
        <f t="shared" ca="1" si="1"/>
        <v/>
      </c>
      <c r="E10" s="41" t="str">
        <f t="shared" ca="1" si="1"/>
        <v/>
      </c>
      <c r="F10" s="41" t="str">
        <f t="shared" ca="1" si="1"/>
        <v/>
      </c>
      <c r="G10" s="41" t="str">
        <f t="shared" ca="1" si="1"/>
        <v/>
      </c>
      <c r="H10" s="41" t="str">
        <f t="shared" ca="1" si="1"/>
        <v/>
      </c>
      <c r="I10" s="41" t="str">
        <f t="shared" ca="1" si="1"/>
        <v/>
      </c>
      <c r="J10" s="41" t="str">
        <f t="shared" ca="1" si="1"/>
        <v/>
      </c>
      <c r="K10" s="41" t="str">
        <f t="shared" ca="1" si="1"/>
        <v/>
      </c>
      <c r="L10" s="41" t="str">
        <f t="shared" ca="1" si="1"/>
        <v/>
      </c>
      <c r="M10" s="41" t="str">
        <f t="shared" ca="1" si="1"/>
        <v/>
      </c>
      <c r="N10" s="41" t="str">
        <f t="shared" ca="1" si="1"/>
        <v/>
      </c>
      <c r="O10" s="41" t="str">
        <f t="shared" ca="1" si="1"/>
        <v/>
      </c>
      <c r="P10" s="264" t="str">
        <f t="shared" ca="1" si="1"/>
        <v/>
      </c>
      <c r="Q10" s="362">
        <f t="shared" ca="1" si="2"/>
        <v>0</v>
      </c>
      <c r="R10" s="41">
        <f t="shared" ca="1" si="2"/>
        <v>0</v>
      </c>
      <c r="S10" s="41">
        <f t="shared" ca="1" si="2"/>
        <v>0</v>
      </c>
      <c r="T10" s="41">
        <f t="shared" ca="1" si="2"/>
        <v>0</v>
      </c>
      <c r="U10" s="41">
        <f t="shared" ca="1" si="2"/>
        <v>0</v>
      </c>
      <c r="V10" s="41">
        <f t="shared" ca="1" si="2"/>
        <v>0</v>
      </c>
      <c r="W10" s="264">
        <f ca="1">SUM(Q10:V10)</f>
        <v>0</v>
      </c>
    </row>
    <row r="11" spans="1:23" x14ac:dyDescent="0.25">
      <c r="A11" s="277" t="s">
        <v>340</v>
      </c>
      <c r="B11" s="376" t="s">
        <v>93</v>
      </c>
      <c r="C11" s="263">
        <f t="shared" ca="1" si="3"/>
        <v>0</v>
      </c>
      <c r="D11" s="41" t="str">
        <f t="shared" ca="1" si="1"/>
        <v/>
      </c>
      <c r="E11" s="41" t="str">
        <f t="shared" ca="1" si="1"/>
        <v/>
      </c>
      <c r="F11" s="41" t="str">
        <f t="shared" ca="1" si="1"/>
        <v/>
      </c>
      <c r="G11" s="41" t="str">
        <f t="shared" ca="1" si="1"/>
        <v/>
      </c>
      <c r="H11" s="41" t="str">
        <f t="shared" ca="1" si="1"/>
        <v/>
      </c>
      <c r="I11" s="41" t="str">
        <f t="shared" ca="1" si="1"/>
        <v/>
      </c>
      <c r="J11" s="41" t="str">
        <f t="shared" ca="1" si="1"/>
        <v/>
      </c>
      <c r="K11" s="41" t="str">
        <f t="shared" ca="1" si="1"/>
        <v/>
      </c>
      <c r="L11" s="41" t="str">
        <f t="shared" ca="1" si="1"/>
        <v/>
      </c>
      <c r="M11" s="41" t="str">
        <f t="shared" ca="1" si="1"/>
        <v/>
      </c>
      <c r="N11" s="41" t="str">
        <f t="shared" ca="1" si="1"/>
        <v/>
      </c>
      <c r="O11" s="41" t="str">
        <f t="shared" ca="1" si="1"/>
        <v/>
      </c>
      <c r="P11" s="264" t="str">
        <f t="shared" ca="1" si="1"/>
        <v/>
      </c>
      <c r="Q11" s="362">
        <f t="shared" ca="1" si="2"/>
        <v>0</v>
      </c>
      <c r="R11" s="41">
        <f t="shared" ca="1" si="2"/>
        <v>0</v>
      </c>
      <c r="S11" s="41">
        <f t="shared" ca="1" si="2"/>
        <v>0</v>
      </c>
      <c r="T11" s="41">
        <f t="shared" ca="1" si="2"/>
        <v>0</v>
      </c>
      <c r="U11" s="41">
        <f t="shared" ca="1" si="2"/>
        <v>0</v>
      </c>
      <c r="V11" s="41">
        <f t="shared" ca="1" si="2"/>
        <v>0</v>
      </c>
      <c r="W11" s="264">
        <f ca="1">SUM(Q11:V11)</f>
        <v>0</v>
      </c>
    </row>
    <row r="12" spans="1:23" x14ac:dyDescent="0.25">
      <c r="A12" s="277" t="s">
        <v>907</v>
      </c>
      <c r="B12" s="376" t="s">
        <v>93</v>
      </c>
      <c r="C12" s="263">
        <f t="shared" ca="1" si="3"/>
        <v>0</v>
      </c>
      <c r="D12" s="41" t="str">
        <f t="shared" ca="1" si="1"/>
        <v/>
      </c>
      <c r="E12" s="41" t="str">
        <f t="shared" ca="1" si="1"/>
        <v/>
      </c>
      <c r="F12" s="41" t="str">
        <f t="shared" ca="1" si="1"/>
        <v/>
      </c>
      <c r="G12" s="41" t="str">
        <f t="shared" ca="1" si="1"/>
        <v/>
      </c>
      <c r="H12" s="41" t="str">
        <f t="shared" ca="1" si="1"/>
        <v/>
      </c>
      <c r="I12" s="41" t="str">
        <f t="shared" ca="1" si="1"/>
        <v/>
      </c>
      <c r="J12" s="41" t="str">
        <f t="shared" ca="1" si="1"/>
        <v/>
      </c>
      <c r="K12" s="41" t="str">
        <f t="shared" ca="1" si="1"/>
        <v/>
      </c>
      <c r="L12" s="41" t="str">
        <f t="shared" ca="1" si="1"/>
        <v/>
      </c>
      <c r="M12" s="41" t="str">
        <f t="shared" ca="1" si="1"/>
        <v/>
      </c>
      <c r="N12" s="41" t="str">
        <f t="shared" ca="1" si="1"/>
        <v/>
      </c>
      <c r="O12" s="41" t="str">
        <f t="shared" ca="1" si="1"/>
        <v/>
      </c>
      <c r="P12" s="264" t="str">
        <f t="shared" ca="1" si="1"/>
        <v/>
      </c>
      <c r="Q12" s="362">
        <f t="shared" ca="1" si="2"/>
        <v>0</v>
      </c>
      <c r="R12" s="41">
        <f t="shared" ca="1" si="2"/>
        <v>0</v>
      </c>
      <c r="S12" s="41">
        <f t="shared" ca="1" si="2"/>
        <v>0</v>
      </c>
      <c r="T12" s="41">
        <f t="shared" ca="1" si="2"/>
        <v>0</v>
      </c>
      <c r="U12" s="41">
        <f t="shared" ca="1" si="2"/>
        <v>0</v>
      </c>
      <c r="V12" s="41">
        <f t="shared" ca="1" si="2"/>
        <v>0</v>
      </c>
      <c r="W12" s="264">
        <f t="shared" ref="W12:W13" ca="1" si="4">SUM(Q12:V12)</f>
        <v>0</v>
      </c>
    </row>
    <row r="13" spans="1:23" x14ac:dyDescent="0.25">
      <c r="A13" s="277" t="str">
        <f>'User Defined Factors'!A58</f>
        <v>User-defined on-site renewable energy use #1</v>
      </c>
      <c r="B13" s="376" t="str">
        <f>'User Defined Factors'!B58</f>
        <v>TBD</v>
      </c>
      <c r="C13" s="263">
        <f t="shared" ca="1" si="3"/>
        <v>0</v>
      </c>
      <c r="D13" s="41" t="str">
        <f t="shared" ca="1" si="1"/>
        <v/>
      </c>
      <c r="E13" s="41" t="str">
        <f t="shared" ca="1" si="1"/>
        <v/>
      </c>
      <c r="F13" s="41" t="str">
        <f t="shared" ca="1" si="1"/>
        <v/>
      </c>
      <c r="G13" s="41" t="str">
        <f t="shared" ca="1" si="1"/>
        <v/>
      </c>
      <c r="H13" s="41" t="str">
        <f t="shared" ca="1" si="1"/>
        <v/>
      </c>
      <c r="I13" s="41" t="str">
        <f t="shared" ca="1" si="1"/>
        <v/>
      </c>
      <c r="J13" s="41" t="str">
        <f t="shared" ca="1" si="1"/>
        <v/>
      </c>
      <c r="K13" s="41" t="str">
        <f t="shared" ca="1" si="1"/>
        <v/>
      </c>
      <c r="L13" s="41" t="str">
        <f t="shared" ca="1" si="1"/>
        <v/>
      </c>
      <c r="M13" s="41" t="str">
        <f t="shared" ca="1" si="1"/>
        <v/>
      </c>
      <c r="N13" s="41" t="str">
        <f t="shared" ca="1" si="1"/>
        <v/>
      </c>
      <c r="O13" s="41" t="str">
        <f t="shared" ca="1" si="1"/>
        <v/>
      </c>
      <c r="P13" s="264" t="str">
        <f t="shared" ca="1" si="1"/>
        <v/>
      </c>
      <c r="Q13" s="362">
        <f t="shared" ca="1" si="2"/>
        <v>0</v>
      </c>
      <c r="R13" s="41">
        <f t="shared" ca="1" si="2"/>
        <v>0</v>
      </c>
      <c r="S13" s="41">
        <f t="shared" ca="1" si="2"/>
        <v>0</v>
      </c>
      <c r="T13" s="41">
        <f t="shared" ca="1" si="2"/>
        <v>0</v>
      </c>
      <c r="U13" s="41">
        <f t="shared" ca="1" si="2"/>
        <v>0</v>
      </c>
      <c r="V13" s="41">
        <f t="shared" ca="1" si="2"/>
        <v>0</v>
      </c>
      <c r="W13" s="264">
        <f t="shared" ca="1" si="4"/>
        <v>0</v>
      </c>
    </row>
    <row r="14" spans="1:23" ht="15.75" thickBot="1" x14ac:dyDescent="0.3">
      <c r="A14" s="277" t="str">
        <f>'User Defined Factors'!A59</f>
        <v>User-defined on-site renewable energy use #2</v>
      </c>
      <c r="B14" s="376" t="str">
        <f>'User Defined Factors'!B59</f>
        <v>TBD</v>
      </c>
      <c r="C14" s="268">
        <f t="shared" ca="1" si="3"/>
        <v>0</v>
      </c>
      <c r="D14" s="269" t="str">
        <f t="shared" ca="1" si="1"/>
        <v/>
      </c>
      <c r="E14" s="269" t="str">
        <f t="shared" ca="1" si="1"/>
        <v/>
      </c>
      <c r="F14" s="269" t="str">
        <f t="shared" ca="1" si="1"/>
        <v/>
      </c>
      <c r="G14" s="269" t="str">
        <f t="shared" ca="1" si="1"/>
        <v/>
      </c>
      <c r="H14" s="269" t="str">
        <f t="shared" ca="1" si="1"/>
        <v/>
      </c>
      <c r="I14" s="269" t="str">
        <f t="shared" ca="1" si="1"/>
        <v/>
      </c>
      <c r="J14" s="269" t="str">
        <f t="shared" ca="1" si="1"/>
        <v/>
      </c>
      <c r="K14" s="269" t="str">
        <f t="shared" ca="1" si="1"/>
        <v/>
      </c>
      <c r="L14" s="269" t="str">
        <f t="shared" ca="1" si="1"/>
        <v/>
      </c>
      <c r="M14" s="269" t="str">
        <f t="shared" ca="1" si="1"/>
        <v/>
      </c>
      <c r="N14" s="269" t="str">
        <f t="shared" ca="1" si="1"/>
        <v/>
      </c>
      <c r="O14" s="269" t="str">
        <f t="shared" ca="1" si="1"/>
        <v/>
      </c>
      <c r="P14" s="270" t="str">
        <f t="shared" ca="1" si="1"/>
        <v/>
      </c>
      <c r="Q14" s="362">
        <f t="shared" ca="1" si="2"/>
        <v>0</v>
      </c>
      <c r="R14" s="41">
        <f t="shared" ca="1" si="2"/>
        <v>0</v>
      </c>
      <c r="S14" s="41">
        <f t="shared" ca="1" si="2"/>
        <v>0</v>
      </c>
      <c r="T14" s="41">
        <f t="shared" ca="1" si="2"/>
        <v>0</v>
      </c>
      <c r="U14" s="41">
        <f t="shared" ca="1" si="2"/>
        <v>0</v>
      </c>
      <c r="V14" s="41">
        <f t="shared" ca="1" si="2"/>
        <v>0</v>
      </c>
      <c r="W14" s="264">
        <f ca="1">SUM(Q14:V14)</f>
        <v>0</v>
      </c>
    </row>
    <row r="15" spans="1:23" x14ac:dyDescent="0.25">
      <c r="A15" s="276"/>
      <c r="B15" s="376"/>
      <c r="C15" s="379"/>
      <c r="D15" s="380"/>
      <c r="E15" s="380"/>
      <c r="F15" s="380"/>
      <c r="G15" s="380"/>
      <c r="H15" s="380"/>
      <c r="I15" s="380"/>
      <c r="J15" s="380"/>
      <c r="K15" s="380"/>
      <c r="L15" s="380"/>
      <c r="M15" s="380"/>
      <c r="N15" s="380"/>
      <c r="O15" s="380"/>
      <c r="P15" s="422"/>
      <c r="Q15" s="262"/>
      <c r="R15" s="51"/>
      <c r="S15" s="51"/>
      <c r="T15" s="51"/>
      <c r="U15" s="51"/>
      <c r="V15" s="51"/>
      <c r="W15" s="265"/>
    </row>
    <row r="16" spans="1:23" ht="15.75" thickBot="1" x14ac:dyDescent="0.3">
      <c r="A16" s="275" t="s">
        <v>341</v>
      </c>
      <c r="B16" s="376"/>
      <c r="C16" s="377"/>
      <c r="D16" s="378"/>
      <c r="E16" s="378"/>
      <c r="F16" s="378"/>
      <c r="G16" s="378"/>
      <c r="H16" s="378"/>
      <c r="I16" s="378"/>
      <c r="J16" s="378"/>
      <c r="K16" s="378"/>
      <c r="L16" s="378"/>
      <c r="M16" s="378"/>
      <c r="N16" s="378"/>
      <c r="O16" s="378"/>
      <c r="P16" s="421"/>
      <c r="Q16" s="262"/>
      <c r="R16" s="51"/>
      <c r="S16" s="51"/>
      <c r="T16" s="51"/>
      <c r="U16" s="51"/>
      <c r="V16" s="51"/>
      <c r="W16" s="265"/>
    </row>
    <row r="17" spans="1:23" x14ac:dyDescent="0.25">
      <c r="A17" s="276" t="s">
        <v>153</v>
      </c>
      <c r="B17" s="376" t="s">
        <v>135</v>
      </c>
      <c r="C17" s="381">
        <f t="shared" ca="1" si="3"/>
        <v>0</v>
      </c>
      <c r="D17" s="382" t="str">
        <f t="shared" ref="D17:D31" ca="1" si="5">IFERROR(INDIRECT(CONCATENATE("'",D$6,"'!",ADDRESS(ROW(B17)+208,6,4))),"")</f>
        <v/>
      </c>
      <c r="E17" s="382" t="str">
        <f t="shared" ref="E17:E31" ca="1" si="6">IFERROR(INDIRECT(CONCATENATE("'",E$6,"'!",ADDRESS(ROW(C17)+208,6,4))),"")</f>
        <v/>
      </c>
      <c r="F17" s="382" t="str">
        <f t="shared" ref="F17:F31" ca="1" si="7">IFERROR(INDIRECT(CONCATENATE("'",F$6,"'!",ADDRESS(ROW(D17)+208,6,4))),"")</f>
        <v/>
      </c>
      <c r="G17" s="382" t="str">
        <f t="shared" ref="G17:G31" ca="1" si="8">IFERROR(INDIRECT(CONCATENATE("'",G$6,"'!",ADDRESS(ROW(E17)+208,6,4))),"")</f>
        <v/>
      </c>
      <c r="H17" s="382" t="str">
        <f t="shared" ref="H17:H31" ca="1" si="9">IFERROR(INDIRECT(CONCATENATE("'",H$6,"'!",ADDRESS(ROW(F17)+208,6,4))),"")</f>
        <v/>
      </c>
      <c r="I17" s="382" t="str">
        <f t="shared" ref="I17:I31" ca="1" si="10">IFERROR(INDIRECT(CONCATENATE("'",I$6,"'!",ADDRESS(ROW(G17)+208,6,4))),"")</f>
        <v/>
      </c>
      <c r="J17" s="382" t="str">
        <f t="shared" ref="J17:J31" ca="1" si="11">IFERROR(INDIRECT(CONCATENATE("'",J$6,"'!",ADDRESS(ROW(H17)+208,6,4))),"")</f>
        <v/>
      </c>
      <c r="K17" s="382" t="str">
        <f t="shared" ref="K17:K31" ca="1" si="12">IFERROR(INDIRECT(CONCATENATE("'",K$6,"'!",ADDRESS(ROW(I17)+208,6,4))),"")</f>
        <v/>
      </c>
      <c r="L17" s="382" t="str">
        <f t="shared" ref="L17:L31" ca="1" si="13">IFERROR(INDIRECT(CONCATENATE("'",L$6,"'!",ADDRESS(ROW(J17)+208,6,4))),"")</f>
        <v/>
      </c>
      <c r="M17" s="382" t="str">
        <f t="shared" ref="M17:M31" ca="1" si="14">IFERROR(INDIRECT(CONCATENATE("'",M$6,"'!",ADDRESS(ROW(K17)+208,6,4))),"")</f>
        <v/>
      </c>
      <c r="N17" s="382" t="str">
        <f t="shared" ref="N17:N31" ca="1" si="15">IFERROR(INDIRECT(CONCATENATE("'",N$6,"'!",ADDRESS(ROW(L17)+208,6,4))),"")</f>
        <v/>
      </c>
      <c r="O17" s="382" t="str">
        <f t="shared" ref="O17:O31" ca="1" si="16">IFERROR(INDIRECT(CONCATENATE("'",O$6,"'!",ADDRESS(ROW(M17)+208,6,4))),"")</f>
        <v/>
      </c>
      <c r="P17" s="383" t="str">
        <f t="shared" ref="P17:P31" ca="1" si="17">IFERROR(INDIRECT(CONCATENATE("'",P$6,"'!",ADDRESS(ROW(N17)+208,6,4))),"")</f>
        <v/>
      </c>
      <c r="Q17" s="362">
        <f t="shared" ref="Q17:V31" ca="1" si="18">SUMIF($C$4:$P$4,"="&amp;Q$6,$C17:$P17)</f>
        <v>0</v>
      </c>
      <c r="R17" s="41">
        <f t="shared" ca="1" si="18"/>
        <v>0</v>
      </c>
      <c r="S17" s="41">
        <f t="shared" ca="1" si="18"/>
        <v>0</v>
      </c>
      <c r="T17" s="41">
        <f t="shared" ca="1" si="18"/>
        <v>0</v>
      </c>
      <c r="U17" s="41">
        <f t="shared" ca="1" si="18"/>
        <v>0</v>
      </c>
      <c r="V17" s="41">
        <f t="shared" ca="1" si="18"/>
        <v>0</v>
      </c>
      <c r="W17" s="264">
        <f t="shared" ref="W17" ca="1" si="19">SUM(Q17:V17)</f>
        <v>0</v>
      </c>
    </row>
    <row r="18" spans="1:23" x14ac:dyDescent="0.25">
      <c r="A18" s="276" t="s">
        <v>688</v>
      </c>
      <c r="B18" s="376" t="s">
        <v>137</v>
      </c>
      <c r="C18" s="263">
        <f t="shared" ca="1" si="3"/>
        <v>0</v>
      </c>
      <c r="D18" s="41" t="str">
        <f t="shared" ca="1" si="5"/>
        <v/>
      </c>
      <c r="E18" s="41" t="str">
        <f t="shared" ca="1" si="6"/>
        <v/>
      </c>
      <c r="F18" s="41" t="str">
        <f t="shared" ca="1" si="7"/>
        <v/>
      </c>
      <c r="G18" s="41" t="str">
        <f t="shared" ca="1" si="8"/>
        <v/>
      </c>
      <c r="H18" s="41" t="str">
        <f t="shared" ca="1" si="9"/>
        <v/>
      </c>
      <c r="I18" s="41" t="str">
        <f t="shared" ca="1" si="10"/>
        <v/>
      </c>
      <c r="J18" s="41" t="str">
        <f t="shared" ca="1" si="11"/>
        <v/>
      </c>
      <c r="K18" s="41" t="str">
        <f t="shared" ca="1" si="12"/>
        <v/>
      </c>
      <c r="L18" s="41" t="str">
        <f t="shared" ca="1" si="13"/>
        <v/>
      </c>
      <c r="M18" s="41" t="str">
        <f t="shared" ca="1" si="14"/>
        <v/>
      </c>
      <c r="N18" s="41" t="str">
        <f t="shared" ca="1" si="15"/>
        <v/>
      </c>
      <c r="O18" s="41" t="str">
        <f t="shared" ca="1" si="16"/>
        <v/>
      </c>
      <c r="P18" s="264" t="str">
        <f t="shared" ca="1" si="17"/>
        <v/>
      </c>
      <c r="Q18" s="362">
        <f t="shared" ca="1" si="18"/>
        <v>0</v>
      </c>
      <c r="R18" s="41">
        <f t="shared" ca="1" si="18"/>
        <v>0</v>
      </c>
      <c r="S18" s="41">
        <f t="shared" ca="1" si="18"/>
        <v>0</v>
      </c>
      <c r="T18" s="41">
        <f t="shared" ca="1" si="18"/>
        <v>0</v>
      </c>
      <c r="U18" s="41">
        <f t="shared" ca="1" si="18"/>
        <v>0</v>
      </c>
      <c r="V18" s="41">
        <f t="shared" ca="1" si="18"/>
        <v>0</v>
      </c>
      <c r="W18" s="264">
        <f t="shared" ref="W18:W31" ca="1" si="20">SUM(Q18:V18)</f>
        <v>0</v>
      </c>
    </row>
    <row r="19" spans="1:23" x14ac:dyDescent="0.25">
      <c r="A19" s="276" t="s">
        <v>679</v>
      </c>
      <c r="B19" s="376" t="s">
        <v>137</v>
      </c>
      <c r="C19" s="263">
        <f t="shared" ca="1" si="3"/>
        <v>0</v>
      </c>
      <c r="D19" s="41" t="str">
        <f t="shared" ca="1" si="5"/>
        <v/>
      </c>
      <c r="E19" s="41" t="str">
        <f t="shared" ca="1" si="6"/>
        <v/>
      </c>
      <c r="F19" s="41" t="str">
        <f t="shared" ca="1" si="7"/>
        <v/>
      </c>
      <c r="G19" s="41" t="str">
        <f t="shared" ca="1" si="8"/>
        <v/>
      </c>
      <c r="H19" s="41" t="str">
        <f t="shared" ca="1" si="9"/>
        <v/>
      </c>
      <c r="I19" s="41" t="str">
        <f t="shared" ca="1" si="10"/>
        <v/>
      </c>
      <c r="J19" s="41" t="str">
        <f t="shared" ca="1" si="11"/>
        <v/>
      </c>
      <c r="K19" s="41" t="str">
        <f t="shared" ca="1" si="12"/>
        <v/>
      </c>
      <c r="L19" s="41" t="str">
        <f t="shared" ca="1" si="13"/>
        <v/>
      </c>
      <c r="M19" s="41" t="str">
        <f t="shared" ca="1" si="14"/>
        <v/>
      </c>
      <c r="N19" s="41" t="str">
        <f t="shared" ca="1" si="15"/>
        <v/>
      </c>
      <c r="O19" s="41" t="str">
        <f t="shared" ca="1" si="16"/>
        <v/>
      </c>
      <c r="P19" s="264" t="str">
        <f t="shared" ca="1" si="17"/>
        <v/>
      </c>
      <c r="Q19" s="362">
        <f t="shared" ca="1" si="18"/>
        <v>0</v>
      </c>
      <c r="R19" s="41">
        <f t="shared" ca="1" si="18"/>
        <v>0</v>
      </c>
      <c r="S19" s="41">
        <f t="shared" ca="1" si="18"/>
        <v>0</v>
      </c>
      <c r="T19" s="41">
        <f t="shared" ca="1" si="18"/>
        <v>0</v>
      </c>
      <c r="U19" s="41">
        <f t="shared" ca="1" si="18"/>
        <v>0</v>
      </c>
      <c r="V19" s="41">
        <f t="shared" ca="1" si="18"/>
        <v>0</v>
      </c>
      <c r="W19" s="264">
        <f t="shared" ca="1" si="20"/>
        <v>0</v>
      </c>
    </row>
    <row r="20" spans="1:23" x14ac:dyDescent="0.25">
      <c r="A20" s="276" t="s">
        <v>680</v>
      </c>
      <c r="B20" s="376" t="s">
        <v>137</v>
      </c>
      <c r="C20" s="263">
        <f t="shared" ca="1" si="3"/>
        <v>0</v>
      </c>
      <c r="D20" s="41" t="str">
        <f t="shared" ca="1" si="5"/>
        <v/>
      </c>
      <c r="E20" s="41" t="str">
        <f t="shared" ca="1" si="6"/>
        <v/>
      </c>
      <c r="F20" s="41" t="str">
        <f t="shared" ca="1" si="7"/>
        <v/>
      </c>
      <c r="G20" s="41" t="str">
        <f t="shared" ca="1" si="8"/>
        <v/>
      </c>
      <c r="H20" s="41" t="str">
        <f t="shared" ca="1" si="9"/>
        <v/>
      </c>
      <c r="I20" s="41" t="str">
        <f t="shared" ca="1" si="10"/>
        <v/>
      </c>
      <c r="J20" s="41" t="str">
        <f t="shared" ca="1" si="11"/>
        <v/>
      </c>
      <c r="K20" s="41" t="str">
        <f t="shared" ca="1" si="12"/>
        <v/>
      </c>
      <c r="L20" s="41" t="str">
        <f t="shared" ca="1" si="13"/>
        <v/>
      </c>
      <c r="M20" s="41" t="str">
        <f t="shared" ca="1" si="14"/>
        <v/>
      </c>
      <c r="N20" s="41" t="str">
        <f t="shared" ca="1" si="15"/>
        <v/>
      </c>
      <c r="O20" s="41" t="str">
        <f t="shared" ca="1" si="16"/>
        <v/>
      </c>
      <c r="P20" s="264" t="str">
        <f t="shared" ca="1" si="17"/>
        <v/>
      </c>
      <c r="Q20" s="362">
        <f t="shared" ca="1" si="18"/>
        <v>0</v>
      </c>
      <c r="R20" s="41">
        <f t="shared" ca="1" si="18"/>
        <v>0</v>
      </c>
      <c r="S20" s="41">
        <f t="shared" ca="1" si="18"/>
        <v>0</v>
      </c>
      <c r="T20" s="41">
        <f t="shared" ca="1" si="18"/>
        <v>0</v>
      </c>
      <c r="U20" s="41">
        <f t="shared" ca="1" si="18"/>
        <v>0</v>
      </c>
      <c r="V20" s="41">
        <f t="shared" ca="1" si="18"/>
        <v>0</v>
      </c>
      <c r="W20" s="264">
        <f t="shared" ca="1" si="20"/>
        <v>0</v>
      </c>
    </row>
    <row r="21" spans="1:23" x14ac:dyDescent="0.25">
      <c r="A21" s="276" t="s">
        <v>681</v>
      </c>
      <c r="B21" s="376" t="s">
        <v>137</v>
      </c>
      <c r="C21" s="263">
        <f t="shared" ca="1" si="3"/>
        <v>0</v>
      </c>
      <c r="D21" s="41" t="str">
        <f t="shared" ca="1" si="5"/>
        <v/>
      </c>
      <c r="E21" s="41" t="str">
        <f t="shared" ca="1" si="6"/>
        <v/>
      </c>
      <c r="F21" s="41" t="str">
        <f t="shared" ca="1" si="7"/>
        <v/>
      </c>
      <c r="G21" s="41" t="str">
        <f t="shared" ca="1" si="8"/>
        <v/>
      </c>
      <c r="H21" s="41" t="str">
        <f t="shared" ca="1" si="9"/>
        <v/>
      </c>
      <c r="I21" s="41" t="str">
        <f t="shared" ca="1" si="10"/>
        <v/>
      </c>
      <c r="J21" s="41" t="str">
        <f t="shared" ca="1" si="11"/>
        <v/>
      </c>
      <c r="K21" s="41" t="str">
        <f t="shared" ca="1" si="12"/>
        <v/>
      </c>
      <c r="L21" s="41" t="str">
        <f t="shared" ca="1" si="13"/>
        <v/>
      </c>
      <c r="M21" s="41" t="str">
        <f t="shared" ca="1" si="14"/>
        <v/>
      </c>
      <c r="N21" s="41" t="str">
        <f t="shared" ca="1" si="15"/>
        <v/>
      </c>
      <c r="O21" s="41" t="str">
        <f t="shared" ca="1" si="16"/>
        <v/>
      </c>
      <c r="P21" s="264" t="str">
        <f t="shared" ca="1" si="17"/>
        <v/>
      </c>
      <c r="Q21" s="362">
        <f t="shared" ca="1" si="18"/>
        <v>0</v>
      </c>
      <c r="R21" s="41">
        <f t="shared" ca="1" si="18"/>
        <v>0</v>
      </c>
      <c r="S21" s="41">
        <f t="shared" ca="1" si="18"/>
        <v>0</v>
      </c>
      <c r="T21" s="41">
        <f t="shared" ca="1" si="18"/>
        <v>0</v>
      </c>
      <c r="U21" s="41">
        <f t="shared" ca="1" si="18"/>
        <v>0</v>
      </c>
      <c r="V21" s="41">
        <f t="shared" ca="1" si="18"/>
        <v>0</v>
      </c>
      <c r="W21" s="264">
        <f t="shared" ca="1" si="20"/>
        <v>0</v>
      </c>
    </row>
    <row r="22" spans="1:23" x14ac:dyDescent="0.25">
      <c r="A22" s="276" t="s">
        <v>689</v>
      </c>
      <c r="B22" s="376" t="s">
        <v>137</v>
      </c>
      <c r="C22" s="263">
        <f t="shared" ca="1" si="3"/>
        <v>0</v>
      </c>
      <c r="D22" s="41" t="str">
        <f t="shared" ca="1" si="5"/>
        <v/>
      </c>
      <c r="E22" s="41" t="str">
        <f t="shared" ca="1" si="6"/>
        <v/>
      </c>
      <c r="F22" s="41" t="str">
        <f t="shared" ca="1" si="7"/>
        <v/>
      </c>
      <c r="G22" s="41" t="str">
        <f t="shared" ca="1" si="8"/>
        <v/>
      </c>
      <c r="H22" s="41" t="str">
        <f t="shared" ca="1" si="9"/>
        <v/>
      </c>
      <c r="I22" s="41" t="str">
        <f t="shared" ca="1" si="10"/>
        <v/>
      </c>
      <c r="J22" s="41" t="str">
        <f t="shared" ca="1" si="11"/>
        <v/>
      </c>
      <c r="K22" s="41" t="str">
        <f t="shared" ca="1" si="12"/>
        <v/>
      </c>
      <c r="L22" s="41" t="str">
        <f t="shared" ca="1" si="13"/>
        <v/>
      </c>
      <c r="M22" s="41" t="str">
        <f t="shared" ca="1" si="14"/>
        <v/>
      </c>
      <c r="N22" s="41" t="str">
        <f t="shared" ca="1" si="15"/>
        <v/>
      </c>
      <c r="O22" s="41" t="str">
        <f t="shared" ca="1" si="16"/>
        <v/>
      </c>
      <c r="P22" s="264" t="str">
        <f t="shared" ca="1" si="17"/>
        <v/>
      </c>
      <c r="Q22" s="362">
        <f t="shared" ca="1" si="18"/>
        <v>0</v>
      </c>
      <c r="R22" s="41">
        <f t="shared" ca="1" si="18"/>
        <v>0</v>
      </c>
      <c r="S22" s="41">
        <f t="shared" ca="1" si="18"/>
        <v>0</v>
      </c>
      <c r="T22" s="41">
        <f t="shared" ca="1" si="18"/>
        <v>0</v>
      </c>
      <c r="U22" s="41">
        <f t="shared" ca="1" si="18"/>
        <v>0</v>
      </c>
      <c r="V22" s="41">
        <f t="shared" ca="1" si="18"/>
        <v>0</v>
      </c>
      <c r="W22" s="264">
        <f t="shared" ca="1" si="20"/>
        <v>0</v>
      </c>
    </row>
    <row r="23" spans="1:23" x14ac:dyDescent="0.25">
      <c r="A23" s="276" t="s">
        <v>682</v>
      </c>
      <c r="B23" s="376" t="s">
        <v>137</v>
      </c>
      <c r="C23" s="263">
        <f t="shared" ca="1" si="3"/>
        <v>0</v>
      </c>
      <c r="D23" s="41" t="str">
        <f t="shared" ca="1" si="5"/>
        <v/>
      </c>
      <c r="E23" s="41" t="str">
        <f t="shared" ca="1" si="6"/>
        <v/>
      </c>
      <c r="F23" s="41" t="str">
        <f t="shared" ca="1" si="7"/>
        <v/>
      </c>
      <c r="G23" s="41" t="str">
        <f t="shared" ca="1" si="8"/>
        <v/>
      </c>
      <c r="H23" s="41" t="str">
        <f t="shared" ca="1" si="9"/>
        <v/>
      </c>
      <c r="I23" s="41" t="str">
        <f t="shared" ca="1" si="10"/>
        <v/>
      </c>
      <c r="J23" s="41" t="str">
        <f t="shared" ca="1" si="11"/>
        <v/>
      </c>
      <c r="K23" s="41" t="str">
        <f t="shared" ca="1" si="12"/>
        <v/>
      </c>
      <c r="L23" s="41" t="str">
        <f t="shared" ca="1" si="13"/>
        <v/>
      </c>
      <c r="M23" s="41" t="str">
        <f t="shared" ca="1" si="14"/>
        <v/>
      </c>
      <c r="N23" s="41" t="str">
        <f t="shared" ca="1" si="15"/>
        <v/>
      </c>
      <c r="O23" s="41" t="str">
        <f t="shared" ca="1" si="16"/>
        <v/>
      </c>
      <c r="P23" s="264" t="str">
        <f t="shared" ca="1" si="17"/>
        <v/>
      </c>
      <c r="Q23" s="362">
        <f t="shared" ca="1" si="18"/>
        <v>0</v>
      </c>
      <c r="R23" s="41">
        <f t="shared" ca="1" si="18"/>
        <v>0</v>
      </c>
      <c r="S23" s="41">
        <f t="shared" ca="1" si="18"/>
        <v>0</v>
      </c>
      <c r="T23" s="41">
        <f t="shared" ca="1" si="18"/>
        <v>0</v>
      </c>
      <c r="U23" s="41">
        <f t="shared" ca="1" si="18"/>
        <v>0</v>
      </c>
      <c r="V23" s="41">
        <f t="shared" ca="1" si="18"/>
        <v>0</v>
      </c>
      <c r="W23" s="264">
        <f t="shared" ca="1" si="20"/>
        <v>0</v>
      </c>
    </row>
    <row r="24" spans="1:23" x14ac:dyDescent="0.25">
      <c r="A24" s="276" t="s">
        <v>683</v>
      </c>
      <c r="B24" s="376" t="s">
        <v>137</v>
      </c>
      <c r="C24" s="263">
        <f t="shared" ca="1" si="3"/>
        <v>0</v>
      </c>
      <c r="D24" s="41" t="str">
        <f t="shared" ca="1" si="5"/>
        <v/>
      </c>
      <c r="E24" s="41" t="str">
        <f t="shared" ca="1" si="6"/>
        <v/>
      </c>
      <c r="F24" s="41" t="str">
        <f t="shared" ca="1" si="7"/>
        <v/>
      </c>
      <c r="G24" s="41" t="str">
        <f t="shared" ca="1" si="8"/>
        <v/>
      </c>
      <c r="H24" s="41" t="str">
        <f t="shared" ca="1" si="9"/>
        <v/>
      </c>
      <c r="I24" s="41" t="str">
        <f t="shared" ca="1" si="10"/>
        <v/>
      </c>
      <c r="J24" s="41" t="str">
        <f t="shared" ca="1" si="11"/>
        <v/>
      </c>
      <c r="K24" s="41" t="str">
        <f t="shared" ca="1" si="12"/>
        <v/>
      </c>
      <c r="L24" s="41" t="str">
        <f t="shared" ca="1" si="13"/>
        <v/>
      </c>
      <c r="M24" s="41" t="str">
        <f t="shared" ca="1" si="14"/>
        <v/>
      </c>
      <c r="N24" s="41" t="str">
        <f t="shared" ca="1" si="15"/>
        <v/>
      </c>
      <c r="O24" s="41" t="str">
        <f t="shared" ca="1" si="16"/>
        <v/>
      </c>
      <c r="P24" s="264" t="str">
        <f t="shared" ca="1" si="17"/>
        <v/>
      </c>
      <c r="Q24" s="362">
        <f t="shared" ca="1" si="18"/>
        <v>0</v>
      </c>
      <c r="R24" s="41">
        <f t="shared" ca="1" si="18"/>
        <v>0</v>
      </c>
      <c r="S24" s="41">
        <f t="shared" ca="1" si="18"/>
        <v>0</v>
      </c>
      <c r="T24" s="41">
        <f t="shared" ca="1" si="18"/>
        <v>0</v>
      </c>
      <c r="U24" s="41">
        <f t="shared" ca="1" si="18"/>
        <v>0</v>
      </c>
      <c r="V24" s="41">
        <f t="shared" ca="1" si="18"/>
        <v>0</v>
      </c>
      <c r="W24" s="264">
        <f t="shared" ca="1" si="20"/>
        <v>0</v>
      </c>
    </row>
    <row r="25" spans="1:23" x14ac:dyDescent="0.25">
      <c r="A25" s="276" t="s">
        <v>291</v>
      </c>
      <c r="B25" s="376" t="s">
        <v>138</v>
      </c>
      <c r="C25" s="263">
        <f t="shared" ca="1" si="3"/>
        <v>0</v>
      </c>
      <c r="D25" s="41" t="str">
        <f t="shared" ca="1" si="5"/>
        <v/>
      </c>
      <c r="E25" s="41" t="str">
        <f t="shared" ca="1" si="6"/>
        <v/>
      </c>
      <c r="F25" s="41" t="str">
        <f t="shared" ca="1" si="7"/>
        <v/>
      </c>
      <c r="G25" s="41" t="str">
        <f t="shared" ca="1" si="8"/>
        <v/>
      </c>
      <c r="H25" s="41" t="str">
        <f t="shared" ca="1" si="9"/>
        <v/>
      </c>
      <c r="I25" s="41" t="str">
        <f t="shared" ca="1" si="10"/>
        <v/>
      </c>
      <c r="J25" s="41" t="str">
        <f t="shared" ca="1" si="11"/>
        <v/>
      </c>
      <c r="K25" s="41" t="str">
        <f t="shared" ca="1" si="12"/>
        <v/>
      </c>
      <c r="L25" s="41" t="str">
        <f t="shared" ca="1" si="13"/>
        <v/>
      </c>
      <c r="M25" s="41" t="str">
        <f t="shared" ca="1" si="14"/>
        <v/>
      </c>
      <c r="N25" s="41" t="str">
        <f t="shared" ca="1" si="15"/>
        <v/>
      </c>
      <c r="O25" s="41" t="str">
        <f t="shared" ca="1" si="16"/>
        <v/>
      </c>
      <c r="P25" s="264" t="str">
        <f t="shared" ca="1" si="17"/>
        <v/>
      </c>
      <c r="Q25" s="362">
        <f t="shared" ca="1" si="18"/>
        <v>0</v>
      </c>
      <c r="R25" s="41">
        <f t="shared" ca="1" si="18"/>
        <v>0</v>
      </c>
      <c r="S25" s="41">
        <f t="shared" ca="1" si="18"/>
        <v>0</v>
      </c>
      <c r="T25" s="41">
        <f t="shared" ca="1" si="18"/>
        <v>0</v>
      </c>
      <c r="U25" s="41">
        <f t="shared" ca="1" si="18"/>
        <v>0</v>
      </c>
      <c r="V25" s="41">
        <f t="shared" ca="1" si="18"/>
        <v>0</v>
      </c>
      <c r="W25" s="264">
        <f t="shared" ca="1" si="20"/>
        <v>0</v>
      </c>
    </row>
    <row r="26" spans="1:23" x14ac:dyDescent="0.25">
      <c r="A26" s="276" t="s">
        <v>691</v>
      </c>
      <c r="B26" s="376" t="s">
        <v>138</v>
      </c>
      <c r="C26" s="263">
        <f t="shared" ca="1" si="3"/>
        <v>0</v>
      </c>
      <c r="D26" s="41" t="str">
        <f t="shared" ca="1" si="5"/>
        <v/>
      </c>
      <c r="E26" s="41" t="str">
        <f t="shared" ca="1" si="6"/>
        <v/>
      </c>
      <c r="F26" s="41" t="str">
        <f t="shared" ca="1" si="7"/>
        <v/>
      </c>
      <c r="G26" s="41" t="str">
        <f t="shared" ca="1" si="8"/>
        <v/>
      </c>
      <c r="H26" s="41" t="str">
        <f t="shared" ca="1" si="9"/>
        <v/>
      </c>
      <c r="I26" s="41" t="str">
        <f t="shared" ca="1" si="10"/>
        <v/>
      </c>
      <c r="J26" s="41" t="str">
        <f t="shared" ca="1" si="11"/>
        <v/>
      </c>
      <c r="K26" s="41" t="str">
        <f t="shared" ca="1" si="12"/>
        <v/>
      </c>
      <c r="L26" s="41" t="str">
        <f t="shared" ca="1" si="13"/>
        <v/>
      </c>
      <c r="M26" s="41" t="str">
        <f t="shared" ca="1" si="14"/>
        <v/>
      </c>
      <c r="N26" s="41" t="str">
        <f t="shared" ca="1" si="15"/>
        <v/>
      </c>
      <c r="O26" s="41" t="str">
        <f t="shared" ca="1" si="16"/>
        <v/>
      </c>
      <c r="P26" s="264" t="str">
        <f t="shared" ca="1" si="17"/>
        <v/>
      </c>
      <c r="Q26" s="362">
        <f t="shared" ca="1" si="18"/>
        <v>0</v>
      </c>
      <c r="R26" s="41">
        <f t="shared" ca="1" si="18"/>
        <v>0</v>
      </c>
      <c r="S26" s="41">
        <f t="shared" ca="1" si="18"/>
        <v>0</v>
      </c>
      <c r="T26" s="41">
        <f t="shared" ca="1" si="18"/>
        <v>0</v>
      </c>
      <c r="U26" s="41">
        <f t="shared" ca="1" si="18"/>
        <v>0</v>
      </c>
      <c r="V26" s="41">
        <f t="shared" ca="1" si="18"/>
        <v>0</v>
      </c>
      <c r="W26" s="264">
        <f t="shared" ca="1" si="20"/>
        <v>0</v>
      </c>
    </row>
    <row r="27" spans="1:23" x14ac:dyDescent="0.25">
      <c r="A27" s="276" t="s">
        <v>690</v>
      </c>
      <c r="B27" s="376" t="s">
        <v>138</v>
      </c>
      <c r="C27" s="263">
        <f t="shared" ca="1" si="3"/>
        <v>0</v>
      </c>
      <c r="D27" s="41" t="str">
        <f t="shared" ca="1" si="5"/>
        <v/>
      </c>
      <c r="E27" s="41" t="str">
        <f t="shared" ca="1" si="6"/>
        <v/>
      </c>
      <c r="F27" s="41" t="str">
        <f t="shared" ca="1" si="7"/>
        <v/>
      </c>
      <c r="G27" s="41" t="str">
        <f t="shared" ca="1" si="8"/>
        <v/>
      </c>
      <c r="H27" s="41" t="str">
        <f t="shared" ca="1" si="9"/>
        <v/>
      </c>
      <c r="I27" s="41" t="str">
        <f t="shared" ca="1" si="10"/>
        <v/>
      </c>
      <c r="J27" s="41" t="str">
        <f t="shared" ca="1" si="11"/>
        <v/>
      </c>
      <c r="K27" s="41" t="str">
        <f t="shared" ca="1" si="12"/>
        <v/>
      </c>
      <c r="L27" s="41" t="str">
        <f t="shared" ca="1" si="13"/>
        <v/>
      </c>
      <c r="M27" s="41" t="str">
        <f t="shared" ca="1" si="14"/>
        <v/>
      </c>
      <c r="N27" s="41" t="str">
        <f t="shared" ca="1" si="15"/>
        <v/>
      </c>
      <c r="O27" s="41" t="str">
        <f t="shared" ca="1" si="16"/>
        <v/>
      </c>
      <c r="P27" s="264" t="str">
        <f t="shared" ca="1" si="17"/>
        <v/>
      </c>
      <c r="Q27" s="362">
        <f t="shared" ca="1" si="18"/>
        <v>0</v>
      </c>
      <c r="R27" s="41">
        <f t="shared" ca="1" si="18"/>
        <v>0</v>
      </c>
      <c r="S27" s="41">
        <f t="shared" ca="1" si="18"/>
        <v>0</v>
      </c>
      <c r="T27" s="41">
        <f t="shared" ca="1" si="18"/>
        <v>0</v>
      </c>
      <c r="U27" s="41">
        <f t="shared" ca="1" si="18"/>
        <v>0</v>
      </c>
      <c r="V27" s="41">
        <f t="shared" ca="1" si="18"/>
        <v>0</v>
      </c>
      <c r="W27" s="264">
        <f t="shared" ca="1" si="20"/>
        <v>0</v>
      </c>
    </row>
    <row r="28" spans="1:23" x14ac:dyDescent="0.25">
      <c r="A28" s="276" t="s">
        <v>712</v>
      </c>
      <c r="B28" s="376" t="s">
        <v>93</v>
      </c>
      <c r="C28" s="263">
        <f t="shared" ca="1" si="3"/>
        <v>0</v>
      </c>
      <c r="D28" s="41" t="str">
        <f t="shared" ca="1" si="5"/>
        <v/>
      </c>
      <c r="E28" s="41" t="str">
        <f t="shared" ca="1" si="6"/>
        <v/>
      </c>
      <c r="F28" s="41" t="str">
        <f t="shared" ca="1" si="7"/>
        <v/>
      </c>
      <c r="G28" s="41" t="str">
        <f t="shared" ca="1" si="8"/>
        <v/>
      </c>
      <c r="H28" s="41" t="str">
        <f t="shared" ca="1" si="9"/>
        <v/>
      </c>
      <c r="I28" s="41" t="str">
        <f t="shared" ca="1" si="10"/>
        <v/>
      </c>
      <c r="J28" s="41" t="str">
        <f t="shared" ca="1" si="11"/>
        <v/>
      </c>
      <c r="K28" s="41" t="str">
        <f t="shared" ca="1" si="12"/>
        <v/>
      </c>
      <c r="L28" s="41" t="str">
        <f t="shared" ca="1" si="13"/>
        <v/>
      </c>
      <c r="M28" s="41" t="str">
        <f t="shared" ca="1" si="14"/>
        <v/>
      </c>
      <c r="N28" s="41" t="str">
        <f t="shared" ca="1" si="15"/>
        <v/>
      </c>
      <c r="O28" s="41" t="str">
        <f t="shared" ca="1" si="16"/>
        <v/>
      </c>
      <c r="P28" s="264" t="str">
        <f t="shared" ca="1" si="17"/>
        <v/>
      </c>
      <c r="Q28" s="362">
        <f t="shared" ca="1" si="18"/>
        <v>0</v>
      </c>
      <c r="R28" s="41">
        <f t="shared" ca="1" si="18"/>
        <v>0</v>
      </c>
      <c r="S28" s="41">
        <f t="shared" ca="1" si="18"/>
        <v>0</v>
      </c>
      <c r="T28" s="41">
        <f t="shared" ca="1" si="18"/>
        <v>0</v>
      </c>
      <c r="U28" s="41">
        <f t="shared" ca="1" si="18"/>
        <v>0</v>
      </c>
      <c r="V28" s="41">
        <f t="shared" ca="1" si="18"/>
        <v>0</v>
      </c>
      <c r="W28" s="264">
        <f t="shared" ca="1" si="20"/>
        <v>0</v>
      </c>
    </row>
    <row r="29" spans="1:23" x14ac:dyDescent="0.25">
      <c r="A29" s="276" t="s">
        <v>692</v>
      </c>
      <c r="B29" s="376" t="s">
        <v>93</v>
      </c>
      <c r="C29" s="263">
        <f t="shared" ca="1" si="3"/>
        <v>0</v>
      </c>
      <c r="D29" s="41" t="str">
        <f t="shared" ca="1" si="5"/>
        <v/>
      </c>
      <c r="E29" s="41" t="str">
        <f t="shared" ca="1" si="6"/>
        <v/>
      </c>
      <c r="F29" s="41" t="str">
        <f t="shared" ca="1" si="7"/>
        <v/>
      </c>
      <c r="G29" s="41" t="str">
        <f t="shared" ca="1" si="8"/>
        <v/>
      </c>
      <c r="H29" s="41" t="str">
        <f t="shared" ca="1" si="9"/>
        <v/>
      </c>
      <c r="I29" s="41" t="str">
        <f t="shared" ca="1" si="10"/>
        <v/>
      </c>
      <c r="J29" s="41" t="str">
        <f t="shared" ca="1" si="11"/>
        <v/>
      </c>
      <c r="K29" s="41" t="str">
        <f t="shared" ca="1" si="12"/>
        <v/>
      </c>
      <c r="L29" s="41" t="str">
        <f t="shared" ca="1" si="13"/>
        <v/>
      </c>
      <c r="M29" s="41" t="str">
        <f t="shared" ca="1" si="14"/>
        <v/>
      </c>
      <c r="N29" s="41" t="str">
        <f t="shared" ca="1" si="15"/>
        <v/>
      </c>
      <c r="O29" s="41" t="str">
        <f t="shared" ca="1" si="16"/>
        <v/>
      </c>
      <c r="P29" s="264" t="str">
        <f t="shared" ca="1" si="17"/>
        <v/>
      </c>
      <c r="Q29" s="362">
        <f t="shared" ca="1" si="18"/>
        <v>0</v>
      </c>
      <c r="R29" s="41">
        <f t="shared" ca="1" si="18"/>
        <v>0</v>
      </c>
      <c r="S29" s="41">
        <f t="shared" ca="1" si="18"/>
        <v>0</v>
      </c>
      <c r="T29" s="41">
        <f t="shared" ca="1" si="18"/>
        <v>0</v>
      </c>
      <c r="U29" s="41">
        <f t="shared" ca="1" si="18"/>
        <v>0</v>
      </c>
      <c r="V29" s="41">
        <f t="shared" ca="1" si="18"/>
        <v>0</v>
      </c>
      <c r="W29" s="264">
        <f t="shared" ca="1" si="20"/>
        <v>0</v>
      </c>
    </row>
    <row r="30" spans="1:23" x14ac:dyDescent="0.25">
      <c r="A30" s="276" t="s">
        <v>289</v>
      </c>
      <c r="B30" s="376" t="s">
        <v>140</v>
      </c>
      <c r="C30" s="263">
        <f t="shared" ca="1" si="3"/>
        <v>0</v>
      </c>
      <c r="D30" s="41" t="str">
        <f t="shared" ca="1" si="5"/>
        <v/>
      </c>
      <c r="E30" s="41" t="str">
        <f t="shared" ca="1" si="6"/>
        <v/>
      </c>
      <c r="F30" s="41" t="str">
        <f t="shared" ca="1" si="7"/>
        <v/>
      </c>
      <c r="G30" s="41" t="str">
        <f t="shared" ca="1" si="8"/>
        <v/>
      </c>
      <c r="H30" s="41" t="str">
        <f t="shared" ca="1" si="9"/>
        <v/>
      </c>
      <c r="I30" s="41" t="str">
        <f t="shared" ca="1" si="10"/>
        <v/>
      </c>
      <c r="J30" s="41" t="str">
        <f t="shared" ca="1" si="11"/>
        <v/>
      </c>
      <c r="K30" s="41" t="str">
        <f t="shared" ca="1" si="12"/>
        <v/>
      </c>
      <c r="L30" s="41" t="str">
        <f t="shared" ca="1" si="13"/>
        <v/>
      </c>
      <c r="M30" s="41" t="str">
        <f t="shared" ca="1" si="14"/>
        <v/>
      </c>
      <c r="N30" s="41" t="str">
        <f t="shared" ca="1" si="15"/>
        <v/>
      </c>
      <c r="O30" s="41" t="str">
        <f t="shared" ca="1" si="16"/>
        <v/>
      </c>
      <c r="P30" s="264" t="str">
        <f t="shared" ca="1" si="17"/>
        <v/>
      </c>
      <c r="Q30" s="362">
        <f t="shared" ca="1" si="18"/>
        <v>0</v>
      </c>
      <c r="R30" s="41">
        <f t="shared" ca="1" si="18"/>
        <v>0</v>
      </c>
      <c r="S30" s="41">
        <f t="shared" ca="1" si="18"/>
        <v>0</v>
      </c>
      <c r="T30" s="41">
        <f t="shared" ca="1" si="18"/>
        <v>0</v>
      </c>
      <c r="U30" s="41">
        <f t="shared" ca="1" si="18"/>
        <v>0</v>
      </c>
      <c r="V30" s="41">
        <f t="shared" ca="1" si="18"/>
        <v>0</v>
      </c>
      <c r="W30" s="264">
        <f t="shared" ca="1" si="20"/>
        <v>0</v>
      </c>
    </row>
    <row r="31" spans="1:23" ht="15.75" thickBot="1" x14ac:dyDescent="0.3">
      <c r="A31" s="276" t="s">
        <v>290</v>
      </c>
      <c r="B31" s="376" t="s">
        <v>140</v>
      </c>
      <c r="C31" s="268">
        <f t="shared" ca="1" si="3"/>
        <v>0</v>
      </c>
      <c r="D31" s="269" t="str">
        <f t="shared" ca="1" si="5"/>
        <v/>
      </c>
      <c r="E31" s="269" t="str">
        <f t="shared" ca="1" si="6"/>
        <v/>
      </c>
      <c r="F31" s="269" t="str">
        <f t="shared" ca="1" si="7"/>
        <v/>
      </c>
      <c r="G31" s="269" t="str">
        <f t="shared" ca="1" si="8"/>
        <v/>
      </c>
      <c r="H31" s="269" t="str">
        <f t="shared" ca="1" si="9"/>
        <v/>
      </c>
      <c r="I31" s="269" t="str">
        <f t="shared" ca="1" si="10"/>
        <v/>
      </c>
      <c r="J31" s="269" t="str">
        <f t="shared" ca="1" si="11"/>
        <v/>
      </c>
      <c r="K31" s="269" t="str">
        <f t="shared" ca="1" si="12"/>
        <v/>
      </c>
      <c r="L31" s="269" t="str">
        <f t="shared" ca="1" si="13"/>
        <v/>
      </c>
      <c r="M31" s="269" t="str">
        <f t="shared" ca="1" si="14"/>
        <v/>
      </c>
      <c r="N31" s="269" t="str">
        <f t="shared" ca="1" si="15"/>
        <v/>
      </c>
      <c r="O31" s="269" t="str">
        <f t="shared" ca="1" si="16"/>
        <v/>
      </c>
      <c r="P31" s="270" t="str">
        <f t="shared" ca="1" si="17"/>
        <v/>
      </c>
      <c r="Q31" s="362">
        <f t="shared" ca="1" si="18"/>
        <v>0</v>
      </c>
      <c r="R31" s="41">
        <f t="shared" ca="1" si="18"/>
        <v>0</v>
      </c>
      <c r="S31" s="41">
        <f t="shared" ca="1" si="18"/>
        <v>0</v>
      </c>
      <c r="T31" s="41">
        <f t="shared" ca="1" si="18"/>
        <v>0</v>
      </c>
      <c r="U31" s="41">
        <f t="shared" ca="1" si="18"/>
        <v>0</v>
      </c>
      <c r="V31" s="41">
        <f t="shared" ca="1" si="18"/>
        <v>0</v>
      </c>
      <c r="W31" s="264">
        <f t="shared" ca="1" si="20"/>
        <v>0</v>
      </c>
    </row>
    <row r="32" spans="1:23" x14ac:dyDescent="0.25">
      <c r="A32" s="276"/>
      <c r="B32" s="376"/>
      <c r="C32" s="379"/>
      <c r="D32" s="380"/>
      <c r="E32" s="380"/>
      <c r="F32" s="380"/>
      <c r="G32" s="380"/>
      <c r="H32" s="380"/>
      <c r="I32" s="380"/>
      <c r="J32" s="380"/>
      <c r="K32" s="380"/>
      <c r="L32" s="380"/>
      <c r="M32" s="380"/>
      <c r="N32" s="380"/>
      <c r="O32" s="380"/>
      <c r="P32" s="422"/>
      <c r="Q32" s="262"/>
      <c r="R32" s="51"/>
      <c r="S32" s="51"/>
      <c r="T32" s="51"/>
      <c r="U32" s="51"/>
      <c r="V32" s="51"/>
      <c r="W32" s="265"/>
    </row>
    <row r="33" spans="1:23" ht="15.75" thickBot="1" x14ac:dyDescent="0.3">
      <c r="A33" s="275" t="s">
        <v>370</v>
      </c>
      <c r="B33" s="376"/>
      <c r="C33" s="377"/>
      <c r="D33" s="378"/>
      <c r="E33" s="378"/>
      <c r="F33" s="378"/>
      <c r="G33" s="378"/>
      <c r="H33" s="378"/>
      <c r="I33" s="378"/>
      <c r="J33" s="378"/>
      <c r="K33" s="378"/>
      <c r="L33" s="378"/>
      <c r="M33" s="378"/>
      <c r="N33" s="378"/>
      <c r="O33" s="378"/>
      <c r="P33" s="421"/>
      <c r="Q33" s="262"/>
      <c r="R33" s="51"/>
      <c r="S33" s="51"/>
      <c r="T33" s="51"/>
      <c r="U33" s="51"/>
      <c r="V33" s="51"/>
      <c r="W33" s="265"/>
    </row>
    <row r="34" spans="1:23" x14ac:dyDescent="0.25">
      <c r="A34" s="276" t="s">
        <v>53</v>
      </c>
      <c r="B34" s="376" t="s">
        <v>139</v>
      </c>
      <c r="C34" s="381">
        <f t="shared" ca="1" si="3"/>
        <v>0</v>
      </c>
      <c r="D34" s="382" t="str">
        <f t="shared" ref="D34:D40" ca="1" si="21">IFERROR(INDIRECT(CONCATENATE("'",D$6,"'!",ADDRESS(ROW(B34)+208,6,4))),"")</f>
        <v/>
      </c>
      <c r="E34" s="382" t="str">
        <f t="shared" ref="E34:E40" ca="1" si="22">IFERROR(INDIRECT(CONCATENATE("'",E$6,"'!",ADDRESS(ROW(C34)+208,6,4))),"")</f>
        <v/>
      </c>
      <c r="F34" s="382" t="str">
        <f t="shared" ref="F34:F40" ca="1" si="23">IFERROR(INDIRECT(CONCATENATE("'",F$6,"'!",ADDRESS(ROW(D34)+208,6,4))),"")</f>
        <v/>
      </c>
      <c r="G34" s="382" t="str">
        <f t="shared" ref="G34:G40" ca="1" si="24">IFERROR(INDIRECT(CONCATENATE("'",G$6,"'!",ADDRESS(ROW(E34)+208,6,4))),"")</f>
        <v/>
      </c>
      <c r="H34" s="382" t="str">
        <f t="shared" ref="H34:H40" ca="1" si="25">IFERROR(INDIRECT(CONCATENATE("'",H$6,"'!",ADDRESS(ROW(F34)+208,6,4))),"")</f>
        <v/>
      </c>
      <c r="I34" s="382" t="str">
        <f t="shared" ref="I34:I40" ca="1" si="26">IFERROR(INDIRECT(CONCATENATE("'",I$6,"'!",ADDRESS(ROW(G34)+208,6,4))),"")</f>
        <v/>
      </c>
      <c r="J34" s="382" t="str">
        <f t="shared" ref="J34:J40" ca="1" si="27">IFERROR(INDIRECT(CONCATENATE("'",J$6,"'!",ADDRESS(ROW(H34)+208,6,4))),"")</f>
        <v/>
      </c>
      <c r="K34" s="382" t="str">
        <f t="shared" ref="K34:K40" ca="1" si="28">IFERROR(INDIRECT(CONCATENATE("'",K$6,"'!",ADDRESS(ROW(I34)+208,6,4))),"")</f>
        <v/>
      </c>
      <c r="L34" s="382" t="str">
        <f t="shared" ref="L34:L40" ca="1" si="29">IFERROR(INDIRECT(CONCATENATE("'",L$6,"'!",ADDRESS(ROW(J34)+208,6,4))),"")</f>
        <v/>
      </c>
      <c r="M34" s="382" t="str">
        <f t="shared" ref="M34:M40" ca="1" si="30">IFERROR(INDIRECT(CONCATENATE("'",M$6,"'!",ADDRESS(ROW(K34)+208,6,4))),"")</f>
        <v/>
      </c>
      <c r="N34" s="382" t="str">
        <f t="shared" ref="N34:N40" ca="1" si="31">IFERROR(INDIRECT(CONCATENATE("'",N$6,"'!",ADDRESS(ROW(L34)+208,6,4))),"")</f>
        <v/>
      </c>
      <c r="O34" s="382" t="str">
        <f t="shared" ref="O34:O40" ca="1" si="32">IFERROR(INDIRECT(CONCATENATE("'",O$6,"'!",ADDRESS(ROW(M34)+208,6,4))),"")</f>
        <v/>
      </c>
      <c r="P34" s="383" t="str">
        <f t="shared" ref="P34:P40" ca="1" si="33">IFERROR(INDIRECT(CONCATENATE("'",P$6,"'!",ADDRESS(ROW(N34)+208,6,4))),"")</f>
        <v/>
      </c>
      <c r="Q34" s="362">
        <f t="shared" ref="Q34:V40" ca="1" si="34">SUMIF($C$4:$P$4,"="&amp;Q$6,$C34:$P34)</f>
        <v>0</v>
      </c>
      <c r="R34" s="41">
        <f t="shared" ca="1" si="34"/>
        <v>0</v>
      </c>
      <c r="S34" s="41">
        <f t="shared" ca="1" si="34"/>
        <v>0</v>
      </c>
      <c r="T34" s="41">
        <f t="shared" ca="1" si="34"/>
        <v>0</v>
      </c>
      <c r="U34" s="41">
        <f t="shared" ca="1" si="34"/>
        <v>0</v>
      </c>
      <c r="V34" s="41">
        <f t="shared" ca="1" si="34"/>
        <v>0</v>
      </c>
      <c r="W34" s="264">
        <f t="shared" ref="W34:W40" ca="1" si="35">SUM(Q34:V34)</f>
        <v>0</v>
      </c>
    </row>
    <row r="35" spans="1:23" x14ac:dyDescent="0.25">
      <c r="A35" s="276" t="s">
        <v>54</v>
      </c>
      <c r="B35" s="376" t="s">
        <v>381</v>
      </c>
      <c r="C35" s="263">
        <f t="shared" ca="1" si="3"/>
        <v>0</v>
      </c>
      <c r="D35" s="41" t="str">
        <f t="shared" ca="1" si="21"/>
        <v/>
      </c>
      <c r="E35" s="41" t="str">
        <f t="shared" ca="1" si="22"/>
        <v/>
      </c>
      <c r="F35" s="41" t="str">
        <f t="shared" ca="1" si="23"/>
        <v/>
      </c>
      <c r="G35" s="41" t="str">
        <f t="shared" ca="1" si="24"/>
        <v/>
      </c>
      <c r="H35" s="41" t="str">
        <f t="shared" ca="1" si="25"/>
        <v/>
      </c>
      <c r="I35" s="41" t="str">
        <f t="shared" ca="1" si="26"/>
        <v/>
      </c>
      <c r="J35" s="41" t="str">
        <f t="shared" ca="1" si="27"/>
        <v/>
      </c>
      <c r="K35" s="41" t="str">
        <f t="shared" ca="1" si="28"/>
        <v/>
      </c>
      <c r="L35" s="41" t="str">
        <f t="shared" ca="1" si="29"/>
        <v/>
      </c>
      <c r="M35" s="41" t="str">
        <f t="shared" ca="1" si="30"/>
        <v/>
      </c>
      <c r="N35" s="41" t="str">
        <f t="shared" ca="1" si="31"/>
        <v/>
      </c>
      <c r="O35" s="41" t="str">
        <f t="shared" ca="1" si="32"/>
        <v/>
      </c>
      <c r="P35" s="264" t="str">
        <f t="shared" ca="1" si="33"/>
        <v/>
      </c>
      <c r="Q35" s="362">
        <f t="shared" ca="1" si="34"/>
        <v>0</v>
      </c>
      <c r="R35" s="41">
        <f t="shared" ca="1" si="34"/>
        <v>0</v>
      </c>
      <c r="S35" s="41">
        <f t="shared" ca="1" si="34"/>
        <v>0</v>
      </c>
      <c r="T35" s="41">
        <f t="shared" ca="1" si="34"/>
        <v>0</v>
      </c>
      <c r="U35" s="41">
        <f t="shared" ca="1" si="34"/>
        <v>0</v>
      </c>
      <c r="V35" s="41">
        <f t="shared" ca="1" si="34"/>
        <v>0</v>
      </c>
      <c r="W35" s="264">
        <f t="shared" ca="1" si="35"/>
        <v>0</v>
      </c>
    </row>
    <row r="36" spans="1:23" x14ac:dyDescent="0.25">
      <c r="A36" s="276" t="s">
        <v>55</v>
      </c>
      <c r="B36" s="376" t="s">
        <v>381</v>
      </c>
      <c r="C36" s="263">
        <f t="shared" ca="1" si="3"/>
        <v>0</v>
      </c>
      <c r="D36" s="41" t="str">
        <f t="shared" ca="1" si="21"/>
        <v/>
      </c>
      <c r="E36" s="41" t="str">
        <f t="shared" ca="1" si="22"/>
        <v/>
      </c>
      <c r="F36" s="41" t="str">
        <f t="shared" ca="1" si="23"/>
        <v/>
      </c>
      <c r="G36" s="41" t="str">
        <f t="shared" ca="1" si="24"/>
        <v/>
      </c>
      <c r="H36" s="41" t="str">
        <f t="shared" ca="1" si="25"/>
        <v/>
      </c>
      <c r="I36" s="41" t="str">
        <f t="shared" ca="1" si="26"/>
        <v/>
      </c>
      <c r="J36" s="41" t="str">
        <f t="shared" ca="1" si="27"/>
        <v/>
      </c>
      <c r="K36" s="41" t="str">
        <f t="shared" ca="1" si="28"/>
        <v/>
      </c>
      <c r="L36" s="41" t="str">
        <f t="shared" ca="1" si="29"/>
        <v/>
      </c>
      <c r="M36" s="41" t="str">
        <f t="shared" ca="1" si="30"/>
        <v/>
      </c>
      <c r="N36" s="41" t="str">
        <f t="shared" ca="1" si="31"/>
        <v/>
      </c>
      <c r="O36" s="41" t="str">
        <f t="shared" ca="1" si="32"/>
        <v/>
      </c>
      <c r="P36" s="264" t="str">
        <f t="shared" ca="1" si="33"/>
        <v/>
      </c>
      <c r="Q36" s="362">
        <f t="shared" ca="1" si="34"/>
        <v>0</v>
      </c>
      <c r="R36" s="41">
        <f t="shared" ca="1" si="34"/>
        <v>0</v>
      </c>
      <c r="S36" s="41">
        <f t="shared" ca="1" si="34"/>
        <v>0</v>
      </c>
      <c r="T36" s="41">
        <f t="shared" ca="1" si="34"/>
        <v>0</v>
      </c>
      <c r="U36" s="41">
        <f t="shared" ca="1" si="34"/>
        <v>0</v>
      </c>
      <c r="V36" s="41">
        <f t="shared" ca="1" si="34"/>
        <v>0</v>
      </c>
      <c r="W36" s="264">
        <f t="shared" ca="1" si="35"/>
        <v>0</v>
      </c>
    </row>
    <row r="37" spans="1:23" x14ac:dyDescent="0.25">
      <c r="A37" s="276" t="s">
        <v>374</v>
      </c>
      <c r="B37" s="376" t="s">
        <v>178</v>
      </c>
      <c r="C37" s="263">
        <f t="shared" ca="1" si="3"/>
        <v>0</v>
      </c>
      <c r="D37" s="41" t="str">
        <f t="shared" ca="1" si="21"/>
        <v/>
      </c>
      <c r="E37" s="41" t="str">
        <f t="shared" ca="1" si="22"/>
        <v/>
      </c>
      <c r="F37" s="41" t="str">
        <f t="shared" ca="1" si="23"/>
        <v/>
      </c>
      <c r="G37" s="41" t="str">
        <f t="shared" ca="1" si="24"/>
        <v/>
      </c>
      <c r="H37" s="41" t="str">
        <f t="shared" ca="1" si="25"/>
        <v/>
      </c>
      <c r="I37" s="41" t="str">
        <f t="shared" ca="1" si="26"/>
        <v/>
      </c>
      <c r="J37" s="41" t="str">
        <f t="shared" ca="1" si="27"/>
        <v/>
      </c>
      <c r="K37" s="41" t="str">
        <f t="shared" ca="1" si="28"/>
        <v/>
      </c>
      <c r="L37" s="41" t="str">
        <f t="shared" ca="1" si="29"/>
        <v/>
      </c>
      <c r="M37" s="41" t="str">
        <f t="shared" ca="1" si="30"/>
        <v/>
      </c>
      <c r="N37" s="41" t="str">
        <f t="shared" ca="1" si="31"/>
        <v/>
      </c>
      <c r="O37" s="41" t="str">
        <f t="shared" ca="1" si="32"/>
        <v/>
      </c>
      <c r="P37" s="264" t="str">
        <f t="shared" ca="1" si="33"/>
        <v/>
      </c>
      <c r="Q37" s="362">
        <f t="shared" ca="1" si="34"/>
        <v>0</v>
      </c>
      <c r="R37" s="41">
        <f t="shared" ca="1" si="34"/>
        <v>0</v>
      </c>
      <c r="S37" s="41">
        <f t="shared" ca="1" si="34"/>
        <v>0</v>
      </c>
      <c r="T37" s="41">
        <f t="shared" ca="1" si="34"/>
        <v>0</v>
      </c>
      <c r="U37" s="41">
        <f t="shared" ca="1" si="34"/>
        <v>0</v>
      </c>
      <c r="V37" s="41">
        <f t="shared" ca="1" si="34"/>
        <v>0</v>
      </c>
      <c r="W37" s="264">
        <f t="shared" ca="1" si="35"/>
        <v>0</v>
      </c>
    </row>
    <row r="38" spans="1:23" x14ac:dyDescent="0.25">
      <c r="A38" s="276" t="s">
        <v>378</v>
      </c>
      <c r="B38" s="376" t="s">
        <v>139</v>
      </c>
      <c r="C38" s="263">
        <f t="shared" ca="1" si="3"/>
        <v>0</v>
      </c>
      <c r="D38" s="41" t="str">
        <f t="shared" ca="1" si="21"/>
        <v/>
      </c>
      <c r="E38" s="41" t="str">
        <f t="shared" ca="1" si="22"/>
        <v/>
      </c>
      <c r="F38" s="41" t="str">
        <f t="shared" ca="1" si="23"/>
        <v/>
      </c>
      <c r="G38" s="41" t="str">
        <f t="shared" ca="1" si="24"/>
        <v/>
      </c>
      <c r="H38" s="41" t="str">
        <f t="shared" ca="1" si="25"/>
        <v/>
      </c>
      <c r="I38" s="41" t="str">
        <f t="shared" ca="1" si="26"/>
        <v/>
      </c>
      <c r="J38" s="41" t="str">
        <f t="shared" ca="1" si="27"/>
        <v/>
      </c>
      <c r="K38" s="41" t="str">
        <f t="shared" ca="1" si="28"/>
        <v/>
      </c>
      <c r="L38" s="41" t="str">
        <f t="shared" ca="1" si="29"/>
        <v/>
      </c>
      <c r="M38" s="41" t="str">
        <f t="shared" ca="1" si="30"/>
        <v/>
      </c>
      <c r="N38" s="41" t="str">
        <f t="shared" ca="1" si="31"/>
        <v/>
      </c>
      <c r="O38" s="41" t="str">
        <f t="shared" ca="1" si="32"/>
        <v/>
      </c>
      <c r="P38" s="264" t="str">
        <f t="shared" ca="1" si="33"/>
        <v/>
      </c>
      <c r="Q38" s="362">
        <f t="shared" ca="1" si="34"/>
        <v>0</v>
      </c>
      <c r="R38" s="41">
        <f t="shared" ca="1" si="34"/>
        <v>0</v>
      </c>
      <c r="S38" s="41">
        <f t="shared" ca="1" si="34"/>
        <v>0</v>
      </c>
      <c r="T38" s="41">
        <f t="shared" ca="1" si="34"/>
        <v>0</v>
      </c>
      <c r="U38" s="41">
        <f t="shared" ca="1" si="34"/>
        <v>0</v>
      </c>
      <c r="V38" s="41">
        <f t="shared" ca="1" si="34"/>
        <v>0</v>
      </c>
      <c r="W38" s="264">
        <f t="shared" ca="1" si="35"/>
        <v>0</v>
      </c>
    </row>
    <row r="39" spans="1:23" x14ac:dyDescent="0.25">
      <c r="A39" s="276" t="s">
        <v>379</v>
      </c>
      <c r="B39" s="376" t="s">
        <v>139</v>
      </c>
      <c r="C39" s="263">
        <f t="shared" ca="1" si="3"/>
        <v>0</v>
      </c>
      <c r="D39" s="41" t="str">
        <f t="shared" ca="1" si="21"/>
        <v/>
      </c>
      <c r="E39" s="41" t="str">
        <f t="shared" ca="1" si="22"/>
        <v/>
      </c>
      <c r="F39" s="41" t="str">
        <f t="shared" ca="1" si="23"/>
        <v/>
      </c>
      <c r="G39" s="41" t="str">
        <f t="shared" ca="1" si="24"/>
        <v/>
      </c>
      <c r="H39" s="41" t="str">
        <f t="shared" ca="1" si="25"/>
        <v/>
      </c>
      <c r="I39" s="41" t="str">
        <f t="shared" ca="1" si="26"/>
        <v/>
      </c>
      <c r="J39" s="41" t="str">
        <f t="shared" ca="1" si="27"/>
        <v/>
      </c>
      <c r="K39" s="41" t="str">
        <f t="shared" ca="1" si="28"/>
        <v/>
      </c>
      <c r="L39" s="41" t="str">
        <f t="shared" ca="1" si="29"/>
        <v/>
      </c>
      <c r="M39" s="41" t="str">
        <f t="shared" ca="1" si="30"/>
        <v/>
      </c>
      <c r="N39" s="41" t="str">
        <f t="shared" ca="1" si="31"/>
        <v/>
      </c>
      <c r="O39" s="41" t="str">
        <f t="shared" ca="1" si="32"/>
        <v/>
      </c>
      <c r="P39" s="264" t="str">
        <f t="shared" ca="1" si="33"/>
        <v/>
      </c>
      <c r="Q39" s="362">
        <f t="shared" ca="1" si="34"/>
        <v>0</v>
      </c>
      <c r="R39" s="41">
        <f t="shared" ca="1" si="34"/>
        <v>0</v>
      </c>
      <c r="S39" s="41">
        <f t="shared" ca="1" si="34"/>
        <v>0</v>
      </c>
      <c r="T39" s="41">
        <f t="shared" ca="1" si="34"/>
        <v>0</v>
      </c>
      <c r="U39" s="41">
        <f t="shared" ca="1" si="34"/>
        <v>0</v>
      </c>
      <c r="V39" s="41">
        <f t="shared" ca="1" si="34"/>
        <v>0</v>
      </c>
      <c r="W39" s="264">
        <f t="shared" ca="1" si="35"/>
        <v>0</v>
      </c>
    </row>
    <row r="40" spans="1:23" ht="15.75" thickBot="1" x14ac:dyDescent="0.3">
      <c r="A40" s="276" t="s">
        <v>380</v>
      </c>
      <c r="B40" s="376" t="s">
        <v>139</v>
      </c>
      <c r="C40" s="268">
        <f t="shared" ca="1" si="3"/>
        <v>0</v>
      </c>
      <c r="D40" s="269" t="str">
        <f t="shared" ca="1" si="21"/>
        <v/>
      </c>
      <c r="E40" s="269" t="str">
        <f t="shared" ca="1" si="22"/>
        <v/>
      </c>
      <c r="F40" s="269" t="str">
        <f t="shared" ca="1" si="23"/>
        <v/>
      </c>
      <c r="G40" s="269" t="str">
        <f t="shared" ca="1" si="24"/>
        <v/>
      </c>
      <c r="H40" s="269" t="str">
        <f t="shared" ca="1" si="25"/>
        <v/>
      </c>
      <c r="I40" s="269" t="str">
        <f t="shared" ca="1" si="26"/>
        <v/>
      </c>
      <c r="J40" s="269" t="str">
        <f t="shared" ca="1" si="27"/>
        <v/>
      </c>
      <c r="K40" s="269" t="str">
        <f t="shared" ca="1" si="28"/>
        <v/>
      </c>
      <c r="L40" s="269" t="str">
        <f t="shared" ca="1" si="29"/>
        <v/>
      </c>
      <c r="M40" s="269" t="str">
        <f t="shared" ca="1" si="30"/>
        <v/>
      </c>
      <c r="N40" s="269" t="str">
        <f t="shared" ca="1" si="31"/>
        <v/>
      </c>
      <c r="O40" s="269" t="str">
        <f t="shared" ca="1" si="32"/>
        <v/>
      </c>
      <c r="P40" s="270" t="str">
        <f t="shared" ca="1" si="33"/>
        <v/>
      </c>
      <c r="Q40" s="362">
        <f t="shared" ca="1" si="34"/>
        <v>0</v>
      </c>
      <c r="R40" s="41">
        <f t="shared" ca="1" si="34"/>
        <v>0</v>
      </c>
      <c r="S40" s="41">
        <f t="shared" ca="1" si="34"/>
        <v>0</v>
      </c>
      <c r="T40" s="41">
        <f t="shared" ca="1" si="34"/>
        <v>0</v>
      </c>
      <c r="U40" s="41">
        <f t="shared" ca="1" si="34"/>
        <v>0</v>
      </c>
      <c r="V40" s="41">
        <f t="shared" ca="1" si="34"/>
        <v>0</v>
      </c>
      <c r="W40" s="264">
        <f t="shared" ca="1" si="35"/>
        <v>0</v>
      </c>
    </row>
    <row r="41" spans="1:23" x14ac:dyDescent="0.25">
      <c r="A41" s="276"/>
      <c r="B41" s="376"/>
      <c r="C41" s="379"/>
      <c r="D41" s="380"/>
      <c r="E41" s="380"/>
      <c r="F41" s="380"/>
      <c r="G41" s="380"/>
      <c r="H41" s="380"/>
      <c r="I41" s="380"/>
      <c r="J41" s="380"/>
      <c r="K41" s="380"/>
      <c r="L41" s="380"/>
      <c r="M41" s="380"/>
      <c r="N41" s="380"/>
      <c r="O41" s="380"/>
      <c r="P41" s="422"/>
      <c r="Q41" s="262"/>
      <c r="R41" s="51"/>
      <c r="S41" s="51"/>
      <c r="T41" s="51"/>
      <c r="U41" s="51"/>
      <c r="V41" s="51"/>
      <c r="W41" s="265"/>
    </row>
    <row r="42" spans="1:23" ht="15.75" thickBot="1" x14ac:dyDescent="0.3">
      <c r="A42" s="274" t="s">
        <v>51</v>
      </c>
      <c r="B42" s="376"/>
      <c r="C42" s="377"/>
      <c r="D42" s="378"/>
      <c r="E42" s="378"/>
      <c r="F42" s="378"/>
      <c r="G42" s="378"/>
      <c r="H42" s="378"/>
      <c r="I42" s="378"/>
      <c r="J42" s="378"/>
      <c r="K42" s="378"/>
      <c r="L42" s="378"/>
      <c r="M42" s="378"/>
      <c r="N42" s="378"/>
      <c r="O42" s="378"/>
      <c r="P42" s="421"/>
      <c r="Q42" s="262"/>
      <c r="R42" s="51"/>
      <c r="S42" s="51"/>
      <c r="T42" s="51"/>
      <c r="U42" s="51"/>
      <c r="V42" s="51"/>
      <c r="W42" s="265"/>
    </row>
    <row r="43" spans="1:23" x14ac:dyDescent="0.25">
      <c r="A43" s="276" t="s">
        <v>153</v>
      </c>
      <c r="B43" s="376" t="s">
        <v>135</v>
      </c>
      <c r="C43" s="381">
        <f t="shared" ca="1" si="3"/>
        <v>0</v>
      </c>
      <c r="D43" s="382" t="str">
        <f t="shared" ref="D43:D45" ca="1" si="36">IFERROR(INDIRECT(CONCATENATE("'",D$6,"'!",ADDRESS(ROW(B43)+208,6,4))),"")</f>
        <v/>
      </c>
      <c r="E43" s="382" t="str">
        <f t="shared" ref="E43:E45" ca="1" si="37">IFERROR(INDIRECT(CONCATENATE("'",E$6,"'!",ADDRESS(ROW(C43)+208,6,4))),"")</f>
        <v/>
      </c>
      <c r="F43" s="382" t="str">
        <f t="shared" ref="F43:F45" ca="1" si="38">IFERROR(INDIRECT(CONCATENATE("'",F$6,"'!",ADDRESS(ROW(D43)+208,6,4))),"")</f>
        <v/>
      </c>
      <c r="G43" s="382" t="str">
        <f t="shared" ref="G43:G45" ca="1" si="39">IFERROR(INDIRECT(CONCATENATE("'",G$6,"'!",ADDRESS(ROW(E43)+208,6,4))),"")</f>
        <v/>
      </c>
      <c r="H43" s="382" t="str">
        <f t="shared" ref="H43:H45" ca="1" si="40">IFERROR(INDIRECT(CONCATENATE("'",H$6,"'!",ADDRESS(ROW(F43)+208,6,4))),"")</f>
        <v/>
      </c>
      <c r="I43" s="382" t="str">
        <f t="shared" ref="I43:I45" ca="1" si="41">IFERROR(INDIRECT(CONCATENATE("'",I$6,"'!",ADDRESS(ROW(G43)+208,6,4))),"")</f>
        <v/>
      </c>
      <c r="J43" s="382" t="str">
        <f t="shared" ref="J43:J45" ca="1" si="42">IFERROR(INDIRECT(CONCATENATE("'",J$6,"'!",ADDRESS(ROW(H43)+208,6,4))),"")</f>
        <v/>
      </c>
      <c r="K43" s="382" t="str">
        <f t="shared" ref="K43:K45" ca="1" si="43">IFERROR(INDIRECT(CONCATENATE("'",K$6,"'!",ADDRESS(ROW(I43)+208,6,4))),"")</f>
        <v/>
      </c>
      <c r="L43" s="382" t="str">
        <f t="shared" ref="L43:L45" ca="1" si="44">IFERROR(INDIRECT(CONCATENATE("'",L$6,"'!",ADDRESS(ROW(J43)+208,6,4))),"")</f>
        <v/>
      </c>
      <c r="M43" s="382" t="str">
        <f t="shared" ref="M43:M45" ca="1" si="45">IFERROR(INDIRECT(CONCATENATE("'",M$6,"'!",ADDRESS(ROW(K43)+208,6,4))),"")</f>
        <v/>
      </c>
      <c r="N43" s="382" t="str">
        <f t="shared" ref="N43:N45" ca="1" si="46">IFERROR(INDIRECT(CONCATENATE("'",N$6,"'!",ADDRESS(ROW(L43)+208,6,4))),"")</f>
        <v/>
      </c>
      <c r="O43" s="382" t="str">
        <f t="shared" ref="O43:O45" ca="1" si="47">IFERROR(INDIRECT(CONCATENATE("'",O$6,"'!",ADDRESS(ROW(M43)+208,6,4))),"")</f>
        <v/>
      </c>
      <c r="P43" s="383" t="str">
        <f t="shared" ref="P43:P45" ca="1" si="48">IFERROR(INDIRECT(CONCATENATE("'",P$6,"'!",ADDRESS(ROW(N43)+208,6,4))),"")</f>
        <v/>
      </c>
      <c r="Q43" s="362">
        <f t="shared" ref="Q43:V43" ca="1" si="49">SUMIF($C$4:$P$4,"="&amp;Q$6,$C43:$P43)</f>
        <v>0</v>
      </c>
      <c r="R43" s="41">
        <f t="shared" ca="1" si="49"/>
        <v>0</v>
      </c>
      <c r="S43" s="41">
        <f t="shared" ca="1" si="49"/>
        <v>0</v>
      </c>
      <c r="T43" s="41">
        <f t="shared" ca="1" si="49"/>
        <v>0</v>
      </c>
      <c r="U43" s="41">
        <f t="shared" ca="1" si="49"/>
        <v>0</v>
      </c>
      <c r="V43" s="41">
        <f t="shared" ca="1" si="49"/>
        <v>0</v>
      </c>
      <c r="W43" s="264">
        <f ca="1">SUM(Q43:V43)</f>
        <v>0</v>
      </c>
    </row>
    <row r="44" spans="1:23" x14ac:dyDescent="0.25">
      <c r="A44" s="276" t="s">
        <v>151</v>
      </c>
      <c r="B44" s="376" t="s">
        <v>135</v>
      </c>
      <c r="C44" s="263">
        <f t="shared" ca="1" si="3"/>
        <v>0</v>
      </c>
      <c r="D44" s="41" t="str">
        <f t="shared" ca="1" si="36"/>
        <v/>
      </c>
      <c r="E44" s="41" t="str">
        <f t="shared" ca="1" si="37"/>
        <v/>
      </c>
      <c r="F44" s="41" t="str">
        <f t="shared" ca="1" si="38"/>
        <v/>
      </c>
      <c r="G44" s="41" t="str">
        <f t="shared" ca="1" si="39"/>
        <v/>
      </c>
      <c r="H44" s="41" t="str">
        <f t="shared" ca="1" si="40"/>
        <v/>
      </c>
      <c r="I44" s="41" t="str">
        <f t="shared" ca="1" si="41"/>
        <v/>
      </c>
      <c r="J44" s="41" t="str">
        <f t="shared" ca="1" si="42"/>
        <v/>
      </c>
      <c r="K44" s="41" t="str">
        <f t="shared" ca="1" si="43"/>
        <v/>
      </c>
      <c r="L44" s="41" t="str">
        <f t="shared" ca="1" si="44"/>
        <v/>
      </c>
      <c r="M44" s="41" t="str">
        <f t="shared" ca="1" si="45"/>
        <v/>
      </c>
      <c r="N44" s="41" t="str">
        <f t="shared" ca="1" si="46"/>
        <v/>
      </c>
      <c r="O44" s="41" t="str">
        <f t="shared" ca="1" si="47"/>
        <v/>
      </c>
      <c r="P44" s="264" t="str">
        <f t="shared" ca="1" si="48"/>
        <v/>
      </c>
      <c r="Q44" s="362">
        <f t="shared" ref="Q44:V45" ca="1" si="50">SUMIF($C$4:$P$4,"="&amp;Q$6,$C44:$P44)</f>
        <v>0</v>
      </c>
      <c r="R44" s="41">
        <f t="shared" ca="1" si="50"/>
        <v>0</v>
      </c>
      <c r="S44" s="41">
        <f t="shared" ca="1" si="50"/>
        <v>0</v>
      </c>
      <c r="T44" s="41">
        <f t="shared" ca="1" si="50"/>
        <v>0</v>
      </c>
      <c r="U44" s="41">
        <f t="shared" ca="1" si="50"/>
        <v>0</v>
      </c>
      <c r="V44" s="41">
        <f t="shared" ca="1" si="50"/>
        <v>0</v>
      </c>
      <c r="W44" s="264">
        <f ca="1">SUM(Q44:V44)</f>
        <v>0</v>
      </c>
    </row>
    <row r="45" spans="1:23" ht="14.45" customHeight="1" thickBot="1" x14ac:dyDescent="0.3">
      <c r="A45" s="276" t="s">
        <v>152</v>
      </c>
      <c r="B45" s="376" t="s">
        <v>135</v>
      </c>
      <c r="C45" s="268">
        <f t="shared" ca="1" si="3"/>
        <v>0</v>
      </c>
      <c r="D45" s="269" t="str">
        <f t="shared" ca="1" si="36"/>
        <v/>
      </c>
      <c r="E45" s="269" t="str">
        <f t="shared" ca="1" si="37"/>
        <v/>
      </c>
      <c r="F45" s="269" t="str">
        <f t="shared" ca="1" si="38"/>
        <v/>
      </c>
      <c r="G45" s="269" t="str">
        <f t="shared" ca="1" si="39"/>
        <v/>
      </c>
      <c r="H45" s="269" t="str">
        <f t="shared" ca="1" si="40"/>
        <v/>
      </c>
      <c r="I45" s="269" t="str">
        <f t="shared" ca="1" si="41"/>
        <v/>
      </c>
      <c r="J45" s="269" t="str">
        <f t="shared" ca="1" si="42"/>
        <v/>
      </c>
      <c r="K45" s="269" t="str">
        <f t="shared" ca="1" si="43"/>
        <v/>
      </c>
      <c r="L45" s="269" t="str">
        <f t="shared" ca="1" si="44"/>
        <v/>
      </c>
      <c r="M45" s="269" t="str">
        <f t="shared" ca="1" si="45"/>
        <v/>
      </c>
      <c r="N45" s="269" t="str">
        <f t="shared" ca="1" si="46"/>
        <v/>
      </c>
      <c r="O45" s="269" t="str">
        <f t="shared" ca="1" si="47"/>
        <v/>
      </c>
      <c r="P45" s="270" t="str">
        <f t="shared" ca="1" si="48"/>
        <v/>
      </c>
      <c r="Q45" s="362">
        <f t="shared" ca="1" si="50"/>
        <v>0</v>
      </c>
      <c r="R45" s="41">
        <f t="shared" ca="1" si="50"/>
        <v>0</v>
      </c>
      <c r="S45" s="41">
        <f t="shared" ca="1" si="50"/>
        <v>0</v>
      </c>
      <c r="T45" s="41">
        <f t="shared" ca="1" si="50"/>
        <v>0</v>
      </c>
      <c r="U45" s="41">
        <f t="shared" ca="1" si="50"/>
        <v>0</v>
      </c>
      <c r="V45" s="41">
        <f t="shared" ca="1" si="50"/>
        <v>0</v>
      </c>
      <c r="W45" s="264">
        <f ca="1">SUM(Q45:V45)</f>
        <v>0</v>
      </c>
    </row>
    <row r="46" spans="1:23" ht="14.45" customHeight="1" x14ac:dyDescent="0.25">
      <c r="A46" s="276"/>
      <c r="B46" s="376"/>
      <c r="C46" s="379"/>
      <c r="D46" s="380"/>
      <c r="E46" s="380"/>
      <c r="F46" s="380"/>
      <c r="G46" s="380"/>
      <c r="H46" s="380"/>
      <c r="I46" s="380"/>
      <c r="J46" s="380"/>
      <c r="K46" s="380"/>
      <c r="L46" s="380"/>
      <c r="M46" s="380"/>
      <c r="N46" s="380"/>
      <c r="O46" s="380"/>
      <c r="P46" s="422"/>
      <c r="Q46" s="262"/>
      <c r="R46" s="51"/>
      <c r="S46" s="51"/>
      <c r="T46" s="51"/>
      <c r="U46" s="51"/>
      <c r="V46" s="51"/>
      <c r="W46" s="265"/>
    </row>
    <row r="47" spans="1:23" ht="14.45" customHeight="1" x14ac:dyDescent="0.25">
      <c r="A47" s="274" t="s">
        <v>741</v>
      </c>
      <c r="B47" s="408"/>
      <c r="C47" s="379"/>
      <c r="D47" s="380"/>
      <c r="E47" s="380"/>
      <c r="F47" s="380"/>
      <c r="G47" s="380"/>
      <c r="H47" s="380"/>
      <c r="I47" s="380"/>
      <c r="J47" s="380"/>
      <c r="K47" s="380"/>
      <c r="L47" s="380"/>
      <c r="M47" s="380"/>
      <c r="N47" s="380"/>
      <c r="O47" s="380"/>
      <c r="P47" s="422"/>
      <c r="Q47" s="262"/>
      <c r="R47" s="51"/>
      <c r="S47" s="51"/>
      <c r="T47" s="51"/>
      <c r="U47" s="51"/>
      <c r="V47" s="51"/>
      <c r="W47" s="265"/>
    </row>
    <row r="48" spans="1:23" ht="14.45" customHeight="1" thickBot="1" x14ac:dyDescent="0.3">
      <c r="A48" s="275" t="s">
        <v>230</v>
      </c>
      <c r="B48" s="408"/>
      <c r="C48" s="377"/>
      <c r="D48" s="378"/>
      <c r="E48" s="378"/>
      <c r="F48" s="378"/>
      <c r="G48" s="378"/>
      <c r="H48" s="378"/>
      <c r="I48" s="378"/>
      <c r="J48" s="378"/>
      <c r="K48" s="378"/>
      <c r="L48" s="378"/>
      <c r="M48" s="378"/>
      <c r="N48" s="378"/>
      <c r="O48" s="378"/>
      <c r="P48" s="421"/>
      <c r="Q48" s="262"/>
      <c r="R48" s="51"/>
      <c r="S48" s="51"/>
      <c r="T48" s="51"/>
      <c r="U48" s="51"/>
      <c r="V48" s="51"/>
      <c r="W48" s="265"/>
    </row>
    <row r="49" spans="1:23" ht="14.45" customHeight="1" x14ac:dyDescent="0.25">
      <c r="A49" s="65" t="s">
        <v>235</v>
      </c>
      <c r="B49" s="384" t="s">
        <v>93</v>
      </c>
      <c r="C49" s="381">
        <f ca="1">IFERROR(INDIRECT(CONCATENATE("'",C$6,"'!",ADDRESS(ROW(A48)+208,6,4))),"")</f>
        <v>0</v>
      </c>
      <c r="D49" s="382" t="str">
        <f t="shared" ref="D49:P49" ca="1" si="51">IFERROR(INDIRECT(CONCATENATE("'",D$6,"'!",ADDRESS(ROW(B48)+208,6,4))),"")</f>
        <v/>
      </c>
      <c r="E49" s="382" t="str">
        <f t="shared" ca="1" si="51"/>
        <v/>
      </c>
      <c r="F49" s="382" t="str">
        <f t="shared" ca="1" si="51"/>
        <v/>
      </c>
      <c r="G49" s="382" t="str">
        <f t="shared" ca="1" si="51"/>
        <v/>
      </c>
      <c r="H49" s="382" t="str">
        <f t="shared" ca="1" si="51"/>
        <v/>
      </c>
      <c r="I49" s="382" t="str">
        <f t="shared" ca="1" si="51"/>
        <v/>
      </c>
      <c r="J49" s="382" t="str">
        <f t="shared" ca="1" si="51"/>
        <v/>
      </c>
      <c r="K49" s="382" t="str">
        <f t="shared" ca="1" si="51"/>
        <v/>
      </c>
      <c r="L49" s="382" t="str">
        <f t="shared" ca="1" si="51"/>
        <v/>
      </c>
      <c r="M49" s="382" t="str">
        <f t="shared" ca="1" si="51"/>
        <v/>
      </c>
      <c r="N49" s="382" t="str">
        <f t="shared" ca="1" si="51"/>
        <v/>
      </c>
      <c r="O49" s="382" t="str">
        <f t="shared" ca="1" si="51"/>
        <v/>
      </c>
      <c r="P49" s="383" t="str">
        <f t="shared" ca="1" si="51"/>
        <v/>
      </c>
      <c r="Q49" s="362">
        <f t="shared" ref="Q49:V73" ca="1" si="52">SUMIF($C$4:$P$4,"="&amp;Q$6,$C49:$P49)</f>
        <v>0</v>
      </c>
      <c r="R49" s="41">
        <f t="shared" ca="1" si="52"/>
        <v>0</v>
      </c>
      <c r="S49" s="41">
        <f t="shared" ca="1" si="52"/>
        <v>0</v>
      </c>
      <c r="T49" s="41">
        <f t="shared" ca="1" si="52"/>
        <v>0</v>
      </c>
      <c r="U49" s="41">
        <f t="shared" ca="1" si="52"/>
        <v>0</v>
      </c>
      <c r="V49" s="41">
        <f t="shared" ca="1" si="52"/>
        <v>0</v>
      </c>
      <c r="W49" s="264">
        <f ca="1">SUM(Q49:V49)</f>
        <v>0</v>
      </c>
    </row>
    <row r="50" spans="1:23" ht="14.45" customHeight="1" x14ac:dyDescent="0.25">
      <c r="A50" s="65" t="s">
        <v>677</v>
      </c>
      <c r="B50" s="384" t="s">
        <v>93</v>
      </c>
      <c r="C50" s="263">
        <f t="shared" ref="C50:C75" ca="1" si="53">IFERROR(INDIRECT(CONCATENATE("'",C$6,"'!",ADDRESS(ROW(A49)+208,6,4))),"")</f>
        <v>0</v>
      </c>
      <c r="D50" s="41" t="str">
        <f t="shared" ref="D50:D75" ca="1" si="54">IFERROR(INDIRECT(CONCATENATE("'",D$6,"'!",ADDRESS(ROW(B49)+208,6,4))),"")</f>
        <v/>
      </c>
      <c r="E50" s="41" t="str">
        <f t="shared" ref="E50:E75" ca="1" si="55">IFERROR(INDIRECT(CONCATENATE("'",E$6,"'!",ADDRESS(ROW(C49)+208,6,4))),"")</f>
        <v/>
      </c>
      <c r="F50" s="41" t="str">
        <f t="shared" ref="F50:F75" ca="1" si="56">IFERROR(INDIRECT(CONCATENATE("'",F$6,"'!",ADDRESS(ROW(D49)+208,6,4))),"")</f>
        <v/>
      </c>
      <c r="G50" s="41" t="str">
        <f t="shared" ref="G50:G75" ca="1" si="57">IFERROR(INDIRECT(CONCATENATE("'",G$6,"'!",ADDRESS(ROW(E49)+208,6,4))),"")</f>
        <v/>
      </c>
      <c r="H50" s="41" t="str">
        <f t="shared" ref="H50:H75" ca="1" si="58">IFERROR(INDIRECT(CONCATENATE("'",H$6,"'!",ADDRESS(ROW(F49)+208,6,4))),"")</f>
        <v/>
      </c>
      <c r="I50" s="41" t="str">
        <f t="shared" ref="I50:I75" ca="1" si="59">IFERROR(INDIRECT(CONCATENATE("'",I$6,"'!",ADDRESS(ROW(G49)+208,6,4))),"")</f>
        <v/>
      </c>
      <c r="J50" s="41" t="str">
        <f t="shared" ref="J50:J75" ca="1" si="60">IFERROR(INDIRECT(CONCATENATE("'",J$6,"'!",ADDRESS(ROW(H49)+208,6,4))),"")</f>
        <v/>
      </c>
      <c r="K50" s="41" t="str">
        <f t="shared" ref="K50:K75" ca="1" si="61">IFERROR(INDIRECT(CONCATENATE("'",K$6,"'!",ADDRESS(ROW(I49)+208,6,4))),"")</f>
        <v/>
      </c>
      <c r="L50" s="41" t="str">
        <f t="shared" ref="L50:L75" ca="1" si="62">IFERROR(INDIRECT(CONCATENATE("'",L$6,"'!",ADDRESS(ROW(J49)+208,6,4))),"")</f>
        <v/>
      </c>
      <c r="M50" s="41" t="str">
        <f t="shared" ref="M50:M75" ca="1" si="63">IFERROR(INDIRECT(CONCATENATE("'",M$6,"'!",ADDRESS(ROW(K49)+208,6,4))),"")</f>
        <v/>
      </c>
      <c r="N50" s="41" t="str">
        <f t="shared" ref="N50:N75" ca="1" si="64">IFERROR(INDIRECT(CONCATENATE("'",N$6,"'!",ADDRESS(ROW(L49)+208,6,4))),"")</f>
        <v/>
      </c>
      <c r="O50" s="41" t="str">
        <f t="shared" ref="O50:O75" ca="1" si="65">IFERROR(INDIRECT(CONCATENATE("'",O$6,"'!",ADDRESS(ROW(M49)+208,6,4))),"")</f>
        <v/>
      </c>
      <c r="P50" s="264" t="str">
        <f t="shared" ref="P50:P75" ca="1" si="66">IFERROR(INDIRECT(CONCATENATE("'",P$6,"'!",ADDRESS(ROW(N49)+208,6,4))),"")</f>
        <v/>
      </c>
      <c r="Q50" s="362">
        <f t="shared" ca="1" si="52"/>
        <v>0</v>
      </c>
      <c r="R50" s="41">
        <f t="shared" ca="1" si="52"/>
        <v>0</v>
      </c>
      <c r="S50" s="41">
        <f t="shared" ca="1" si="52"/>
        <v>0</v>
      </c>
      <c r="T50" s="41">
        <f t="shared" ca="1" si="52"/>
        <v>0</v>
      </c>
      <c r="U50" s="41">
        <f t="shared" ca="1" si="52"/>
        <v>0</v>
      </c>
      <c r="V50" s="41">
        <f t="shared" ca="1" si="52"/>
        <v>0</v>
      </c>
      <c r="W50" s="264">
        <f t="shared" ref="W50:W75" ca="1" si="67">SUM(Q50:V50)</f>
        <v>0</v>
      </c>
    </row>
    <row r="51" spans="1:23" ht="14.45" customHeight="1" x14ac:dyDescent="0.25">
      <c r="A51" s="65" t="s">
        <v>236</v>
      </c>
      <c r="B51" s="384" t="s">
        <v>93</v>
      </c>
      <c r="C51" s="263">
        <f t="shared" ca="1" si="53"/>
        <v>0</v>
      </c>
      <c r="D51" s="41" t="str">
        <f t="shared" ca="1" si="54"/>
        <v/>
      </c>
      <c r="E51" s="41" t="str">
        <f t="shared" ca="1" si="55"/>
        <v/>
      </c>
      <c r="F51" s="41" t="str">
        <f t="shared" ca="1" si="56"/>
        <v/>
      </c>
      <c r="G51" s="41" t="str">
        <f t="shared" ca="1" si="57"/>
        <v/>
      </c>
      <c r="H51" s="41" t="str">
        <f t="shared" ca="1" si="58"/>
        <v/>
      </c>
      <c r="I51" s="41" t="str">
        <f t="shared" ca="1" si="59"/>
        <v/>
      </c>
      <c r="J51" s="41" t="str">
        <f t="shared" ca="1" si="60"/>
        <v/>
      </c>
      <c r="K51" s="41" t="str">
        <f t="shared" ca="1" si="61"/>
        <v/>
      </c>
      <c r="L51" s="41" t="str">
        <f t="shared" ca="1" si="62"/>
        <v/>
      </c>
      <c r="M51" s="41" t="str">
        <f t="shared" ca="1" si="63"/>
        <v/>
      </c>
      <c r="N51" s="41" t="str">
        <f t="shared" ca="1" si="64"/>
        <v/>
      </c>
      <c r="O51" s="41" t="str">
        <f t="shared" ca="1" si="65"/>
        <v/>
      </c>
      <c r="P51" s="264" t="str">
        <f t="shared" ca="1" si="66"/>
        <v/>
      </c>
      <c r="Q51" s="362">
        <f t="shared" ca="1" si="52"/>
        <v>0</v>
      </c>
      <c r="R51" s="41">
        <f t="shared" ca="1" si="52"/>
        <v>0</v>
      </c>
      <c r="S51" s="41">
        <f t="shared" ca="1" si="52"/>
        <v>0</v>
      </c>
      <c r="T51" s="41">
        <f t="shared" ca="1" si="52"/>
        <v>0</v>
      </c>
      <c r="U51" s="41">
        <f t="shared" ca="1" si="52"/>
        <v>0</v>
      </c>
      <c r="V51" s="41">
        <f t="shared" ca="1" si="52"/>
        <v>0</v>
      </c>
      <c r="W51" s="264">
        <f t="shared" ca="1" si="67"/>
        <v>0</v>
      </c>
    </row>
    <row r="52" spans="1:23" ht="14.45" customHeight="1" x14ac:dyDescent="0.25">
      <c r="A52" s="65" t="s">
        <v>713</v>
      </c>
      <c r="B52" s="384" t="s">
        <v>93</v>
      </c>
      <c r="C52" s="263">
        <f t="shared" ca="1" si="53"/>
        <v>0</v>
      </c>
      <c r="D52" s="41" t="str">
        <f t="shared" ca="1" si="54"/>
        <v/>
      </c>
      <c r="E52" s="41" t="str">
        <f t="shared" ca="1" si="55"/>
        <v/>
      </c>
      <c r="F52" s="41" t="str">
        <f t="shared" ca="1" si="56"/>
        <v/>
      </c>
      <c r="G52" s="41" t="str">
        <f t="shared" ca="1" si="57"/>
        <v/>
      </c>
      <c r="H52" s="41" t="str">
        <f t="shared" ca="1" si="58"/>
        <v/>
      </c>
      <c r="I52" s="41" t="str">
        <f t="shared" ca="1" si="59"/>
        <v/>
      </c>
      <c r="J52" s="41" t="str">
        <f t="shared" ca="1" si="60"/>
        <v/>
      </c>
      <c r="K52" s="41" t="str">
        <f t="shared" ca="1" si="61"/>
        <v/>
      </c>
      <c r="L52" s="41" t="str">
        <f t="shared" ca="1" si="62"/>
        <v/>
      </c>
      <c r="M52" s="41" t="str">
        <f t="shared" ca="1" si="63"/>
        <v/>
      </c>
      <c r="N52" s="41" t="str">
        <f t="shared" ca="1" si="64"/>
        <v/>
      </c>
      <c r="O52" s="41" t="str">
        <f t="shared" ca="1" si="65"/>
        <v/>
      </c>
      <c r="P52" s="264" t="str">
        <f t="shared" ca="1" si="66"/>
        <v/>
      </c>
      <c r="Q52" s="362">
        <f t="shared" ca="1" si="52"/>
        <v>0</v>
      </c>
      <c r="R52" s="41">
        <f t="shared" ca="1" si="52"/>
        <v>0</v>
      </c>
      <c r="S52" s="41">
        <f t="shared" ca="1" si="52"/>
        <v>0</v>
      </c>
      <c r="T52" s="41">
        <f t="shared" ca="1" si="52"/>
        <v>0</v>
      </c>
      <c r="U52" s="41">
        <f t="shared" ca="1" si="52"/>
        <v>0</v>
      </c>
      <c r="V52" s="41">
        <f t="shared" ca="1" si="52"/>
        <v>0</v>
      </c>
      <c r="W52" s="264">
        <f t="shared" ca="1" si="67"/>
        <v>0</v>
      </c>
    </row>
    <row r="53" spans="1:23" ht="14.45" customHeight="1" x14ac:dyDescent="0.25">
      <c r="A53" s="65" t="s">
        <v>237</v>
      </c>
      <c r="B53" s="384" t="s">
        <v>93</v>
      </c>
      <c r="C53" s="263">
        <f t="shared" ca="1" si="53"/>
        <v>0</v>
      </c>
      <c r="D53" s="41" t="str">
        <f t="shared" ca="1" si="54"/>
        <v/>
      </c>
      <c r="E53" s="41" t="str">
        <f t="shared" ca="1" si="55"/>
        <v/>
      </c>
      <c r="F53" s="41" t="str">
        <f t="shared" ca="1" si="56"/>
        <v/>
      </c>
      <c r="G53" s="41" t="str">
        <f t="shared" ca="1" si="57"/>
        <v/>
      </c>
      <c r="H53" s="41" t="str">
        <f t="shared" ca="1" si="58"/>
        <v/>
      </c>
      <c r="I53" s="41" t="str">
        <f t="shared" ca="1" si="59"/>
        <v/>
      </c>
      <c r="J53" s="41" t="str">
        <f t="shared" ca="1" si="60"/>
        <v/>
      </c>
      <c r="K53" s="41" t="str">
        <f t="shared" ca="1" si="61"/>
        <v/>
      </c>
      <c r="L53" s="41" t="str">
        <f t="shared" ca="1" si="62"/>
        <v/>
      </c>
      <c r="M53" s="41" t="str">
        <f t="shared" ca="1" si="63"/>
        <v/>
      </c>
      <c r="N53" s="41" t="str">
        <f t="shared" ca="1" si="64"/>
        <v/>
      </c>
      <c r="O53" s="41" t="str">
        <f t="shared" ca="1" si="65"/>
        <v/>
      </c>
      <c r="P53" s="264" t="str">
        <f t="shared" ca="1" si="66"/>
        <v/>
      </c>
      <c r="Q53" s="362">
        <f t="shared" ca="1" si="52"/>
        <v>0</v>
      </c>
      <c r="R53" s="41">
        <f t="shared" ca="1" si="52"/>
        <v>0</v>
      </c>
      <c r="S53" s="41">
        <f t="shared" ca="1" si="52"/>
        <v>0</v>
      </c>
      <c r="T53" s="41">
        <f t="shared" ca="1" si="52"/>
        <v>0</v>
      </c>
      <c r="U53" s="41">
        <f t="shared" ca="1" si="52"/>
        <v>0</v>
      </c>
      <c r="V53" s="41">
        <f t="shared" ca="1" si="52"/>
        <v>0</v>
      </c>
      <c r="W53" s="264">
        <f t="shared" ca="1" si="67"/>
        <v>0</v>
      </c>
    </row>
    <row r="54" spans="1:23" ht="14.45" customHeight="1" x14ac:dyDescent="0.25">
      <c r="A54" s="65" t="s">
        <v>714</v>
      </c>
      <c r="B54" s="384" t="s">
        <v>93</v>
      </c>
      <c r="C54" s="263">
        <f t="shared" ca="1" si="53"/>
        <v>0</v>
      </c>
      <c r="D54" s="41" t="str">
        <f t="shared" ca="1" si="54"/>
        <v/>
      </c>
      <c r="E54" s="41" t="str">
        <f t="shared" ca="1" si="55"/>
        <v/>
      </c>
      <c r="F54" s="41" t="str">
        <f t="shared" ca="1" si="56"/>
        <v/>
      </c>
      <c r="G54" s="41" t="str">
        <f t="shared" ca="1" si="57"/>
        <v/>
      </c>
      <c r="H54" s="41" t="str">
        <f t="shared" ca="1" si="58"/>
        <v/>
      </c>
      <c r="I54" s="41" t="str">
        <f t="shared" ca="1" si="59"/>
        <v/>
      </c>
      <c r="J54" s="41" t="str">
        <f t="shared" ca="1" si="60"/>
        <v/>
      </c>
      <c r="K54" s="41" t="str">
        <f t="shared" ca="1" si="61"/>
        <v/>
      </c>
      <c r="L54" s="41" t="str">
        <f t="shared" ca="1" si="62"/>
        <v/>
      </c>
      <c r="M54" s="41" t="str">
        <f t="shared" ca="1" si="63"/>
        <v/>
      </c>
      <c r="N54" s="41" t="str">
        <f t="shared" ca="1" si="64"/>
        <v/>
      </c>
      <c r="O54" s="41" t="str">
        <f t="shared" ca="1" si="65"/>
        <v/>
      </c>
      <c r="P54" s="264" t="str">
        <f t="shared" ca="1" si="66"/>
        <v/>
      </c>
      <c r="Q54" s="362">
        <f t="shared" ca="1" si="52"/>
        <v>0</v>
      </c>
      <c r="R54" s="41">
        <f t="shared" ca="1" si="52"/>
        <v>0</v>
      </c>
      <c r="S54" s="41">
        <f t="shared" ca="1" si="52"/>
        <v>0</v>
      </c>
      <c r="T54" s="41">
        <f t="shared" ca="1" si="52"/>
        <v>0</v>
      </c>
      <c r="U54" s="41">
        <f t="shared" ca="1" si="52"/>
        <v>0</v>
      </c>
      <c r="V54" s="41">
        <f t="shared" ca="1" si="52"/>
        <v>0</v>
      </c>
      <c r="W54" s="264">
        <f t="shared" ca="1" si="67"/>
        <v>0</v>
      </c>
    </row>
    <row r="55" spans="1:23" ht="14.45" customHeight="1" x14ac:dyDescent="0.25">
      <c r="A55" s="65" t="s">
        <v>238</v>
      </c>
      <c r="B55" s="384" t="s">
        <v>93</v>
      </c>
      <c r="C55" s="263">
        <f t="shared" ca="1" si="53"/>
        <v>0</v>
      </c>
      <c r="D55" s="41" t="str">
        <f t="shared" ca="1" si="54"/>
        <v/>
      </c>
      <c r="E55" s="41" t="str">
        <f t="shared" ca="1" si="55"/>
        <v/>
      </c>
      <c r="F55" s="41" t="str">
        <f t="shared" ca="1" si="56"/>
        <v/>
      </c>
      <c r="G55" s="41" t="str">
        <f t="shared" ca="1" si="57"/>
        <v/>
      </c>
      <c r="H55" s="41" t="str">
        <f t="shared" ca="1" si="58"/>
        <v/>
      </c>
      <c r="I55" s="41" t="str">
        <f t="shared" ca="1" si="59"/>
        <v/>
      </c>
      <c r="J55" s="41" t="str">
        <f t="shared" ca="1" si="60"/>
        <v/>
      </c>
      <c r="K55" s="41" t="str">
        <f t="shared" ca="1" si="61"/>
        <v/>
      </c>
      <c r="L55" s="41" t="str">
        <f t="shared" ca="1" si="62"/>
        <v/>
      </c>
      <c r="M55" s="41" t="str">
        <f t="shared" ca="1" si="63"/>
        <v/>
      </c>
      <c r="N55" s="41" t="str">
        <f t="shared" ca="1" si="64"/>
        <v/>
      </c>
      <c r="O55" s="41" t="str">
        <f t="shared" ca="1" si="65"/>
        <v/>
      </c>
      <c r="P55" s="264" t="str">
        <f t="shared" ca="1" si="66"/>
        <v/>
      </c>
      <c r="Q55" s="362">
        <f t="shared" ca="1" si="52"/>
        <v>0</v>
      </c>
      <c r="R55" s="41">
        <f t="shared" ca="1" si="52"/>
        <v>0</v>
      </c>
      <c r="S55" s="41">
        <f t="shared" ca="1" si="52"/>
        <v>0</v>
      </c>
      <c r="T55" s="41">
        <f t="shared" ca="1" si="52"/>
        <v>0</v>
      </c>
      <c r="U55" s="41">
        <f t="shared" ca="1" si="52"/>
        <v>0</v>
      </c>
      <c r="V55" s="41">
        <f t="shared" ca="1" si="52"/>
        <v>0</v>
      </c>
      <c r="W55" s="264">
        <f t="shared" ca="1" si="67"/>
        <v>0</v>
      </c>
    </row>
    <row r="56" spans="1:23" ht="14.45" customHeight="1" x14ac:dyDescent="0.25">
      <c r="A56" s="65" t="s">
        <v>715</v>
      </c>
      <c r="B56" s="384" t="s">
        <v>93</v>
      </c>
      <c r="C56" s="263">
        <f t="shared" ca="1" si="53"/>
        <v>0</v>
      </c>
      <c r="D56" s="41" t="str">
        <f t="shared" ca="1" si="54"/>
        <v/>
      </c>
      <c r="E56" s="41" t="str">
        <f t="shared" ca="1" si="55"/>
        <v/>
      </c>
      <c r="F56" s="41" t="str">
        <f t="shared" ca="1" si="56"/>
        <v/>
      </c>
      <c r="G56" s="41" t="str">
        <f t="shared" ca="1" si="57"/>
        <v/>
      </c>
      <c r="H56" s="41" t="str">
        <f t="shared" ca="1" si="58"/>
        <v/>
      </c>
      <c r="I56" s="41" t="str">
        <f t="shared" ca="1" si="59"/>
        <v/>
      </c>
      <c r="J56" s="41" t="str">
        <f t="shared" ca="1" si="60"/>
        <v/>
      </c>
      <c r="K56" s="41" t="str">
        <f t="shared" ca="1" si="61"/>
        <v/>
      </c>
      <c r="L56" s="41" t="str">
        <f t="shared" ca="1" si="62"/>
        <v/>
      </c>
      <c r="M56" s="41" t="str">
        <f t="shared" ca="1" si="63"/>
        <v/>
      </c>
      <c r="N56" s="41" t="str">
        <f t="shared" ca="1" si="64"/>
        <v/>
      </c>
      <c r="O56" s="41" t="str">
        <f t="shared" ca="1" si="65"/>
        <v/>
      </c>
      <c r="P56" s="264" t="str">
        <f t="shared" ca="1" si="66"/>
        <v/>
      </c>
      <c r="Q56" s="362">
        <f t="shared" ca="1" si="52"/>
        <v>0</v>
      </c>
      <c r="R56" s="41">
        <f t="shared" ca="1" si="52"/>
        <v>0</v>
      </c>
      <c r="S56" s="41">
        <f t="shared" ca="1" si="52"/>
        <v>0</v>
      </c>
      <c r="T56" s="41">
        <f t="shared" ca="1" si="52"/>
        <v>0</v>
      </c>
      <c r="U56" s="41">
        <f t="shared" ca="1" si="52"/>
        <v>0</v>
      </c>
      <c r="V56" s="41">
        <f t="shared" ca="1" si="52"/>
        <v>0</v>
      </c>
      <c r="W56" s="264">
        <f t="shared" ca="1" si="67"/>
        <v>0</v>
      </c>
    </row>
    <row r="57" spans="1:23" ht="14.45" customHeight="1" x14ac:dyDescent="0.25">
      <c r="A57" s="65" t="s">
        <v>665</v>
      </c>
      <c r="B57" s="384" t="s">
        <v>93</v>
      </c>
      <c r="C57" s="263">
        <f t="shared" ca="1" si="53"/>
        <v>0</v>
      </c>
      <c r="D57" s="41" t="str">
        <f t="shared" ca="1" si="54"/>
        <v/>
      </c>
      <c r="E57" s="41" t="str">
        <f t="shared" ca="1" si="55"/>
        <v/>
      </c>
      <c r="F57" s="41" t="str">
        <f t="shared" ca="1" si="56"/>
        <v/>
      </c>
      <c r="G57" s="41" t="str">
        <f t="shared" ca="1" si="57"/>
        <v/>
      </c>
      <c r="H57" s="41" t="str">
        <f t="shared" ca="1" si="58"/>
        <v/>
      </c>
      <c r="I57" s="41" t="str">
        <f t="shared" ca="1" si="59"/>
        <v/>
      </c>
      <c r="J57" s="41" t="str">
        <f t="shared" ca="1" si="60"/>
        <v/>
      </c>
      <c r="K57" s="41" t="str">
        <f t="shared" ca="1" si="61"/>
        <v/>
      </c>
      <c r="L57" s="41" t="str">
        <f t="shared" ca="1" si="62"/>
        <v/>
      </c>
      <c r="M57" s="41" t="str">
        <f t="shared" ca="1" si="63"/>
        <v/>
      </c>
      <c r="N57" s="41" t="str">
        <f t="shared" ca="1" si="64"/>
        <v/>
      </c>
      <c r="O57" s="41" t="str">
        <f t="shared" ca="1" si="65"/>
        <v/>
      </c>
      <c r="P57" s="264" t="str">
        <f t="shared" ca="1" si="66"/>
        <v/>
      </c>
      <c r="Q57" s="362">
        <f t="shared" ca="1" si="52"/>
        <v>0</v>
      </c>
      <c r="R57" s="41">
        <f t="shared" ca="1" si="52"/>
        <v>0</v>
      </c>
      <c r="S57" s="41">
        <f t="shared" ca="1" si="52"/>
        <v>0</v>
      </c>
      <c r="T57" s="41">
        <f t="shared" ca="1" si="52"/>
        <v>0</v>
      </c>
      <c r="U57" s="41">
        <f t="shared" ca="1" si="52"/>
        <v>0</v>
      </c>
      <c r="V57" s="41">
        <f t="shared" ca="1" si="52"/>
        <v>0</v>
      </c>
      <c r="W57" s="264">
        <f t="shared" ca="1" si="67"/>
        <v>0</v>
      </c>
    </row>
    <row r="58" spans="1:23" ht="14.45" customHeight="1" x14ac:dyDescent="0.25">
      <c r="A58" s="65" t="s">
        <v>664</v>
      </c>
      <c r="B58" s="384" t="s">
        <v>93</v>
      </c>
      <c r="C58" s="263">
        <f t="shared" ca="1" si="53"/>
        <v>0</v>
      </c>
      <c r="D58" s="41" t="str">
        <f t="shared" ca="1" si="54"/>
        <v/>
      </c>
      <c r="E58" s="41" t="str">
        <f t="shared" ca="1" si="55"/>
        <v/>
      </c>
      <c r="F58" s="41" t="str">
        <f t="shared" ca="1" si="56"/>
        <v/>
      </c>
      <c r="G58" s="41" t="str">
        <f t="shared" ca="1" si="57"/>
        <v/>
      </c>
      <c r="H58" s="41" t="str">
        <f t="shared" ca="1" si="58"/>
        <v/>
      </c>
      <c r="I58" s="41" t="str">
        <f t="shared" ca="1" si="59"/>
        <v/>
      </c>
      <c r="J58" s="41" t="str">
        <f t="shared" ca="1" si="60"/>
        <v/>
      </c>
      <c r="K58" s="41" t="str">
        <f t="shared" ca="1" si="61"/>
        <v/>
      </c>
      <c r="L58" s="41" t="str">
        <f t="shared" ca="1" si="62"/>
        <v/>
      </c>
      <c r="M58" s="41" t="str">
        <f t="shared" ca="1" si="63"/>
        <v/>
      </c>
      <c r="N58" s="41" t="str">
        <f t="shared" ca="1" si="64"/>
        <v/>
      </c>
      <c r="O58" s="41" t="str">
        <f t="shared" ca="1" si="65"/>
        <v/>
      </c>
      <c r="P58" s="264" t="str">
        <f t="shared" ca="1" si="66"/>
        <v/>
      </c>
      <c r="Q58" s="362">
        <f t="shared" ca="1" si="52"/>
        <v>0</v>
      </c>
      <c r="R58" s="41">
        <f t="shared" ca="1" si="52"/>
        <v>0</v>
      </c>
      <c r="S58" s="41">
        <f t="shared" ca="1" si="52"/>
        <v>0</v>
      </c>
      <c r="T58" s="41">
        <f t="shared" ca="1" si="52"/>
        <v>0</v>
      </c>
      <c r="U58" s="41">
        <f t="shared" ca="1" si="52"/>
        <v>0</v>
      </c>
      <c r="V58" s="41">
        <f t="shared" ca="1" si="52"/>
        <v>0</v>
      </c>
      <c r="W58" s="264">
        <f t="shared" ca="1" si="67"/>
        <v>0</v>
      </c>
    </row>
    <row r="59" spans="1:23" ht="14.45" customHeight="1" x14ac:dyDescent="0.25">
      <c r="A59" s="65" t="s">
        <v>676</v>
      </c>
      <c r="B59" s="384" t="s">
        <v>93</v>
      </c>
      <c r="C59" s="263">
        <f t="shared" ca="1" si="53"/>
        <v>0</v>
      </c>
      <c r="D59" s="41" t="str">
        <f t="shared" ca="1" si="54"/>
        <v/>
      </c>
      <c r="E59" s="41" t="str">
        <f t="shared" ca="1" si="55"/>
        <v/>
      </c>
      <c r="F59" s="41" t="str">
        <f t="shared" ca="1" si="56"/>
        <v/>
      </c>
      <c r="G59" s="41" t="str">
        <f t="shared" ca="1" si="57"/>
        <v/>
      </c>
      <c r="H59" s="41" t="str">
        <f t="shared" ca="1" si="58"/>
        <v/>
      </c>
      <c r="I59" s="41" t="str">
        <f t="shared" ca="1" si="59"/>
        <v/>
      </c>
      <c r="J59" s="41" t="str">
        <f t="shared" ca="1" si="60"/>
        <v/>
      </c>
      <c r="K59" s="41" t="str">
        <f t="shared" ca="1" si="61"/>
        <v/>
      </c>
      <c r="L59" s="41" t="str">
        <f t="shared" ca="1" si="62"/>
        <v/>
      </c>
      <c r="M59" s="41" t="str">
        <f t="shared" ca="1" si="63"/>
        <v/>
      </c>
      <c r="N59" s="41" t="str">
        <f t="shared" ca="1" si="64"/>
        <v/>
      </c>
      <c r="O59" s="41" t="str">
        <f t="shared" ca="1" si="65"/>
        <v/>
      </c>
      <c r="P59" s="264" t="str">
        <f t="shared" ca="1" si="66"/>
        <v/>
      </c>
      <c r="Q59" s="362">
        <f t="shared" ca="1" si="52"/>
        <v>0</v>
      </c>
      <c r="R59" s="41">
        <f t="shared" ca="1" si="52"/>
        <v>0</v>
      </c>
      <c r="S59" s="41">
        <f t="shared" ca="1" si="52"/>
        <v>0</v>
      </c>
      <c r="T59" s="41">
        <f t="shared" ca="1" si="52"/>
        <v>0</v>
      </c>
      <c r="U59" s="41">
        <f t="shared" ca="1" si="52"/>
        <v>0</v>
      </c>
      <c r="V59" s="41">
        <f t="shared" ca="1" si="52"/>
        <v>0</v>
      </c>
      <c r="W59" s="264">
        <f t="shared" ca="1" si="67"/>
        <v>0</v>
      </c>
    </row>
    <row r="60" spans="1:23" ht="14.45" customHeight="1" x14ac:dyDescent="0.25">
      <c r="A60" s="65" t="s">
        <v>675</v>
      </c>
      <c r="B60" s="384" t="s">
        <v>93</v>
      </c>
      <c r="C60" s="263">
        <f t="shared" ca="1" si="53"/>
        <v>0</v>
      </c>
      <c r="D60" s="41" t="str">
        <f t="shared" ca="1" si="54"/>
        <v/>
      </c>
      <c r="E60" s="41" t="str">
        <f t="shared" ca="1" si="55"/>
        <v/>
      </c>
      <c r="F60" s="41" t="str">
        <f t="shared" ca="1" si="56"/>
        <v/>
      </c>
      <c r="G60" s="41" t="str">
        <f t="shared" ca="1" si="57"/>
        <v/>
      </c>
      <c r="H60" s="41" t="str">
        <f t="shared" ca="1" si="58"/>
        <v/>
      </c>
      <c r="I60" s="41" t="str">
        <f t="shared" ca="1" si="59"/>
        <v/>
      </c>
      <c r="J60" s="41" t="str">
        <f t="shared" ca="1" si="60"/>
        <v/>
      </c>
      <c r="K60" s="41" t="str">
        <f t="shared" ca="1" si="61"/>
        <v/>
      </c>
      <c r="L60" s="41" t="str">
        <f t="shared" ca="1" si="62"/>
        <v/>
      </c>
      <c r="M60" s="41" t="str">
        <f t="shared" ca="1" si="63"/>
        <v/>
      </c>
      <c r="N60" s="41" t="str">
        <f t="shared" ca="1" si="64"/>
        <v/>
      </c>
      <c r="O60" s="41" t="str">
        <f t="shared" ca="1" si="65"/>
        <v/>
      </c>
      <c r="P60" s="264" t="str">
        <f t="shared" ca="1" si="66"/>
        <v/>
      </c>
      <c r="Q60" s="362">
        <f t="shared" ca="1" si="52"/>
        <v>0</v>
      </c>
      <c r="R60" s="41">
        <f t="shared" ca="1" si="52"/>
        <v>0</v>
      </c>
      <c r="S60" s="41">
        <f t="shared" ca="1" si="52"/>
        <v>0</v>
      </c>
      <c r="T60" s="41">
        <f t="shared" ca="1" si="52"/>
        <v>0</v>
      </c>
      <c r="U60" s="41">
        <f t="shared" ca="1" si="52"/>
        <v>0</v>
      </c>
      <c r="V60" s="41">
        <f t="shared" ca="1" si="52"/>
        <v>0</v>
      </c>
      <c r="W60" s="264">
        <f t="shared" ca="1" si="67"/>
        <v>0</v>
      </c>
    </row>
    <row r="61" spans="1:23" ht="14.45" customHeight="1" x14ac:dyDescent="0.25">
      <c r="A61" s="65" t="s">
        <v>232</v>
      </c>
      <c r="B61" s="384" t="s">
        <v>93</v>
      </c>
      <c r="C61" s="263">
        <f t="shared" ca="1" si="53"/>
        <v>0</v>
      </c>
      <c r="D61" s="41" t="str">
        <f t="shared" ca="1" si="54"/>
        <v/>
      </c>
      <c r="E61" s="41" t="str">
        <f t="shared" ca="1" si="55"/>
        <v/>
      </c>
      <c r="F61" s="41" t="str">
        <f t="shared" ca="1" si="56"/>
        <v/>
      </c>
      <c r="G61" s="41" t="str">
        <f t="shared" ca="1" si="57"/>
        <v/>
      </c>
      <c r="H61" s="41" t="str">
        <f t="shared" ca="1" si="58"/>
        <v/>
      </c>
      <c r="I61" s="41" t="str">
        <f t="shared" ca="1" si="59"/>
        <v/>
      </c>
      <c r="J61" s="41" t="str">
        <f t="shared" ca="1" si="60"/>
        <v/>
      </c>
      <c r="K61" s="41" t="str">
        <f t="shared" ca="1" si="61"/>
        <v/>
      </c>
      <c r="L61" s="41" t="str">
        <f t="shared" ca="1" si="62"/>
        <v/>
      </c>
      <c r="M61" s="41" t="str">
        <f t="shared" ca="1" si="63"/>
        <v/>
      </c>
      <c r="N61" s="41" t="str">
        <f t="shared" ca="1" si="64"/>
        <v/>
      </c>
      <c r="O61" s="41" t="str">
        <f t="shared" ca="1" si="65"/>
        <v/>
      </c>
      <c r="P61" s="264" t="str">
        <f t="shared" ca="1" si="66"/>
        <v/>
      </c>
      <c r="Q61" s="362">
        <f t="shared" ca="1" si="52"/>
        <v>0</v>
      </c>
      <c r="R61" s="41">
        <f t="shared" ca="1" si="52"/>
        <v>0</v>
      </c>
      <c r="S61" s="41">
        <f t="shared" ca="1" si="52"/>
        <v>0</v>
      </c>
      <c r="T61" s="41">
        <f t="shared" ca="1" si="52"/>
        <v>0</v>
      </c>
      <c r="U61" s="41">
        <f t="shared" ca="1" si="52"/>
        <v>0</v>
      </c>
      <c r="V61" s="41">
        <f t="shared" ca="1" si="52"/>
        <v>0</v>
      </c>
      <c r="W61" s="264">
        <f t="shared" ca="1" si="67"/>
        <v>0</v>
      </c>
    </row>
    <row r="62" spans="1:23" ht="14.45" customHeight="1" x14ac:dyDescent="0.25">
      <c r="A62" s="65" t="s">
        <v>716</v>
      </c>
      <c r="B62" s="384" t="s">
        <v>93</v>
      </c>
      <c r="C62" s="263">
        <f t="shared" ca="1" si="53"/>
        <v>0</v>
      </c>
      <c r="D62" s="41" t="str">
        <f t="shared" ca="1" si="54"/>
        <v/>
      </c>
      <c r="E62" s="41" t="str">
        <f t="shared" ca="1" si="55"/>
        <v/>
      </c>
      <c r="F62" s="41" t="str">
        <f t="shared" ca="1" si="56"/>
        <v/>
      </c>
      <c r="G62" s="41" t="str">
        <f t="shared" ca="1" si="57"/>
        <v/>
      </c>
      <c r="H62" s="41" t="str">
        <f t="shared" ca="1" si="58"/>
        <v/>
      </c>
      <c r="I62" s="41" t="str">
        <f t="shared" ca="1" si="59"/>
        <v/>
      </c>
      <c r="J62" s="41" t="str">
        <f t="shared" ca="1" si="60"/>
        <v/>
      </c>
      <c r="K62" s="41" t="str">
        <f t="shared" ca="1" si="61"/>
        <v/>
      </c>
      <c r="L62" s="41" t="str">
        <f t="shared" ca="1" si="62"/>
        <v/>
      </c>
      <c r="M62" s="41" t="str">
        <f t="shared" ca="1" si="63"/>
        <v/>
      </c>
      <c r="N62" s="41" t="str">
        <f t="shared" ca="1" si="64"/>
        <v/>
      </c>
      <c r="O62" s="41" t="str">
        <f t="shared" ca="1" si="65"/>
        <v/>
      </c>
      <c r="P62" s="264" t="str">
        <f t="shared" ca="1" si="66"/>
        <v/>
      </c>
      <c r="Q62" s="362">
        <f t="shared" ca="1" si="52"/>
        <v>0</v>
      </c>
      <c r="R62" s="41">
        <f t="shared" ca="1" si="52"/>
        <v>0</v>
      </c>
      <c r="S62" s="41">
        <f t="shared" ca="1" si="52"/>
        <v>0</v>
      </c>
      <c r="T62" s="41">
        <f t="shared" ca="1" si="52"/>
        <v>0</v>
      </c>
      <c r="U62" s="41">
        <f t="shared" ca="1" si="52"/>
        <v>0</v>
      </c>
      <c r="V62" s="41">
        <f t="shared" ca="1" si="52"/>
        <v>0</v>
      </c>
      <c r="W62" s="264">
        <f t="shared" ca="1" si="67"/>
        <v>0</v>
      </c>
    </row>
    <row r="63" spans="1:23" ht="14.45" customHeight="1" x14ac:dyDescent="0.25">
      <c r="A63" s="65" t="s">
        <v>233</v>
      </c>
      <c r="B63" s="384" t="s">
        <v>93</v>
      </c>
      <c r="C63" s="263">
        <f t="shared" ca="1" si="53"/>
        <v>0</v>
      </c>
      <c r="D63" s="41" t="str">
        <f t="shared" ca="1" si="54"/>
        <v/>
      </c>
      <c r="E63" s="41" t="str">
        <f t="shared" ca="1" si="55"/>
        <v/>
      </c>
      <c r="F63" s="41" t="str">
        <f t="shared" ca="1" si="56"/>
        <v/>
      </c>
      <c r="G63" s="41" t="str">
        <f t="shared" ca="1" si="57"/>
        <v/>
      </c>
      <c r="H63" s="41" t="str">
        <f t="shared" ca="1" si="58"/>
        <v/>
      </c>
      <c r="I63" s="41" t="str">
        <f t="shared" ca="1" si="59"/>
        <v/>
      </c>
      <c r="J63" s="41" t="str">
        <f t="shared" ca="1" si="60"/>
        <v/>
      </c>
      <c r="K63" s="41" t="str">
        <f t="shared" ca="1" si="61"/>
        <v/>
      </c>
      <c r="L63" s="41" t="str">
        <f t="shared" ca="1" si="62"/>
        <v/>
      </c>
      <c r="M63" s="41" t="str">
        <f t="shared" ca="1" si="63"/>
        <v/>
      </c>
      <c r="N63" s="41" t="str">
        <f t="shared" ca="1" si="64"/>
        <v/>
      </c>
      <c r="O63" s="41" t="str">
        <f t="shared" ca="1" si="65"/>
        <v/>
      </c>
      <c r="P63" s="264" t="str">
        <f t="shared" ca="1" si="66"/>
        <v/>
      </c>
      <c r="Q63" s="362">
        <f t="shared" ca="1" si="52"/>
        <v>0</v>
      </c>
      <c r="R63" s="41">
        <f t="shared" ca="1" si="52"/>
        <v>0</v>
      </c>
      <c r="S63" s="41">
        <f t="shared" ca="1" si="52"/>
        <v>0</v>
      </c>
      <c r="T63" s="41">
        <f t="shared" ca="1" si="52"/>
        <v>0</v>
      </c>
      <c r="U63" s="41">
        <f t="shared" ca="1" si="52"/>
        <v>0</v>
      </c>
      <c r="V63" s="41">
        <f t="shared" ca="1" si="52"/>
        <v>0</v>
      </c>
      <c r="W63" s="264">
        <f t="shared" ca="1" si="67"/>
        <v>0</v>
      </c>
    </row>
    <row r="64" spans="1:23" ht="14.45" customHeight="1" x14ac:dyDescent="0.25">
      <c r="A64" s="65" t="s">
        <v>717</v>
      </c>
      <c r="B64" s="384" t="s">
        <v>93</v>
      </c>
      <c r="C64" s="263">
        <f t="shared" ca="1" si="53"/>
        <v>0</v>
      </c>
      <c r="D64" s="41" t="str">
        <f t="shared" ca="1" si="54"/>
        <v/>
      </c>
      <c r="E64" s="41" t="str">
        <f t="shared" ca="1" si="55"/>
        <v/>
      </c>
      <c r="F64" s="41" t="str">
        <f t="shared" ca="1" si="56"/>
        <v/>
      </c>
      <c r="G64" s="41" t="str">
        <f t="shared" ca="1" si="57"/>
        <v/>
      </c>
      <c r="H64" s="41" t="str">
        <f t="shared" ca="1" si="58"/>
        <v/>
      </c>
      <c r="I64" s="41" t="str">
        <f t="shared" ca="1" si="59"/>
        <v/>
      </c>
      <c r="J64" s="41" t="str">
        <f t="shared" ca="1" si="60"/>
        <v/>
      </c>
      <c r="K64" s="41" t="str">
        <f t="shared" ca="1" si="61"/>
        <v/>
      </c>
      <c r="L64" s="41" t="str">
        <f t="shared" ca="1" si="62"/>
        <v/>
      </c>
      <c r="M64" s="41" t="str">
        <f t="shared" ca="1" si="63"/>
        <v/>
      </c>
      <c r="N64" s="41" t="str">
        <f t="shared" ca="1" si="64"/>
        <v/>
      </c>
      <c r="O64" s="41" t="str">
        <f t="shared" ca="1" si="65"/>
        <v/>
      </c>
      <c r="P64" s="264" t="str">
        <f t="shared" ca="1" si="66"/>
        <v/>
      </c>
      <c r="Q64" s="362">
        <f t="shared" ca="1" si="52"/>
        <v>0</v>
      </c>
      <c r="R64" s="41">
        <f t="shared" ca="1" si="52"/>
        <v>0</v>
      </c>
      <c r="S64" s="41">
        <f t="shared" ca="1" si="52"/>
        <v>0</v>
      </c>
      <c r="T64" s="41">
        <f t="shared" ca="1" si="52"/>
        <v>0</v>
      </c>
      <c r="U64" s="41">
        <f t="shared" ca="1" si="52"/>
        <v>0</v>
      </c>
      <c r="V64" s="41">
        <f t="shared" ca="1" si="52"/>
        <v>0</v>
      </c>
      <c r="W64" s="264">
        <f t="shared" ca="1" si="67"/>
        <v>0</v>
      </c>
    </row>
    <row r="65" spans="1:23" ht="14.45" customHeight="1" x14ac:dyDescent="0.25">
      <c r="A65" s="65" t="s">
        <v>234</v>
      </c>
      <c r="B65" s="384" t="s">
        <v>93</v>
      </c>
      <c r="C65" s="263">
        <f t="shared" ca="1" si="53"/>
        <v>0</v>
      </c>
      <c r="D65" s="41" t="str">
        <f t="shared" ca="1" si="54"/>
        <v/>
      </c>
      <c r="E65" s="41" t="str">
        <f t="shared" ca="1" si="55"/>
        <v/>
      </c>
      <c r="F65" s="41" t="str">
        <f t="shared" ca="1" si="56"/>
        <v/>
      </c>
      <c r="G65" s="41" t="str">
        <f t="shared" ca="1" si="57"/>
        <v/>
      </c>
      <c r="H65" s="41" t="str">
        <f t="shared" ca="1" si="58"/>
        <v/>
      </c>
      <c r="I65" s="41" t="str">
        <f t="shared" ca="1" si="59"/>
        <v/>
      </c>
      <c r="J65" s="41" t="str">
        <f t="shared" ca="1" si="60"/>
        <v/>
      </c>
      <c r="K65" s="41" t="str">
        <f t="shared" ca="1" si="61"/>
        <v/>
      </c>
      <c r="L65" s="41" t="str">
        <f t="shared" ca="1" si="62"/>
        <v/>
      </c>
      <c r="M65" s="41" t="str">
        <f t="shared" ca="1" si="63"/>
        <v/>
      </c>
      <c r="N65" s="41" t="str">
        <f t="shared" ca="1" si="64"/>
        <v/>
      </c>
      <c r="O65" s="41" t="str">
        <f t="shared" ca="1" si="65"/>
        <v/>
      </c>
      <c r="P65" s="264" t="str">
        <f t="shared" ca="1" si="66"/>
        <v/>
      </c>
      <c r="Q65" s="362">
        <f t="shared" ca="1" si="52"/>
        <v>0</v>
      </c>
      <c r="R65" s="41">
        <f t="shared" ca="1" si="52"/>
        <v>0</v>
      </c>
      <c r="S65" s="41">
        <f t="shared" ca="1" si="52"/>
        <v>0</v>
      </c>
      <c r="T65" s="41">
        <f t="shared" ca="1" si="52"/>
        <v>0</v>
      </c>
      <c r="U65" s="41">
        <f t="shared" ca="1" si="52"/>
        <v>0</v>
      </c>
      <c r="V65" s="41">
        <f t="shared" ca="1" si="52"/>
        <v>0</v>
      </c>
      <c r="W65" s="264">
        <f t="shared" ca="1" si="67"/>
        <v>0</v>
      </c>
    </row>
    <row r="66" spans="1:23" ht="14.45" customHeight="1" x14ac:dyDescent="0.25">
      <c r="A66" s="65" t="s">
        <v>718</v>
      </c>
      <c r="B66" s="384" t="s">
        <v>93</v>
      </c>
      <c r="C66" s="263">
        <f t="shared" ca="1" si="53"/>
        <v>0</v>
      </c>
      <c r="D66" s="41" t="str">
        <f t="shared" ca="1" si="54"/>
        <v/>
      </c>
      <c r="E66" s="41" t="str">
        <f t="shared" ca="1" si="55"/>
        <v/>
      </c>
      <c r="F66" s="41" t="str">
        <f t="shared" ca="1" si="56"/>
        <v/>
      </c>
      <c r="G66" s="41" t="str">
        <f t="shared" ca="1" si="57"/>
        <v/>
      </c>
      <c r="H66" s="41" t="str">
        <f t="shared" ca="1" si="58"/>
        <v/>
      </c>
      <c r="I66" s="41" t="str">
        <f t="shared" ca="1" si="59"/>
        <v/>
      </c>
      <c r="J66" s="41" t="str">
        <f t="shared" ca="1" si="60"/>
        <v/>
      </c>
      <c r="K66" s="41" t="str">
        <f t="shared" ca="1" si="61"/>
        <v/>
      </c>
      <c r="L66" s="41" t="str">
        <f t="shared" ca="1" si="62"/>
        <v/>
      </c>
      <c r="M66" s="41" t="str">
        <f t="shared" ca="1" si="63"/>
        <v/>
      </c>
      <c r="N66" s="41" t="str">
        <f t="shared" ca="1" si="64"/>
        <v/>
      </c>
      <c r="O66" s="41" t="str">
        <f t="shared" ca="1" si="65"/>
        <v/>
      </c>
      <c r="P66" s="264" t="str">
        <f t="shared" ca="1" si="66"/>
        <v/>
      </c>
      <c r="Q66" s="362">
        <f t="shared" ca="1" si="52"/>
        <v>0</v>
      </c>
      <c r="R66" s="41">
        <f t="shared" ca="1" si="52"/>
        <v>0</v>
      </c>
      <c r="S66" s="41">
        <f t="shared" ca="1" si="52"/>
        <v>0</v>
      </c>
      <c r="T66" s="41">
        <f t="shared" ca="1" si="52"/>
        <v>0</v>
      </c>
      <c r="U66" s="41">
        <f t="shared" ca="1" si="52"/>
        <v>0</v>
      </c>
      <c r="V66" s="41">
        <f t="shared" ca="1" si="52"/>
        <v>0</v>
      </c>
      <c r="W66" s="264">
        <f t="shared" ca="1" si="67"/>
        <v>0</v>
      </c>
    </row>
    <row r="67" spans="1:23" ht="14.45" customHeight="1" x14ac:dyDescent="0.25">
      <c r="A67" s="65" t="s">
        <v>666</v>
      </c>
      <c r="B67" s="384" t="s">
        <v>93</v>
      </c>
      <c r="C67" s="263">
        <f t="shared" ca="1" si="53"/>
        <v>0</v>
      </c>
      <c r="D67" s="41" t="str">
        <f t="shared" ca="1" si="54"/>
        <v/>
      </c>
      <c r="E67" s="41" t="str">
        <f t="shared" ca="1" si="55"/>
        <v/>
      </c>
      <c r="F67" s="41" t="str">
        <f t="shared" ca="1" si="56"/>
        <v/>
      </c>
      <c r="G67" s="41" t="str">
        <f t="shared" ca="1" si="57"/>
        <v/>
      </c>
      <c r="H67" s="41" t="str">
        <f t="shared" ca="1" si="58"/>
        <v/>
      </c>
      <c r="I67" s="41" t="str">
        <f t="shared" ca="1" si="59"/>
        <v/>
      </c>
      <c r="J67" s="41" t="str">
        <f t="shared" ca="1" si="60"/>
        <v/>
      </c>
      <c r="K67" s="41" t="str">
        <f t="shared" ca="1" si="61"/>
        <v/>
      </c>
      <c r="L67" s="41" t="str">
        <f t="shared" ca="1" si="62"/>
        <v/>
      </c>
      <c r="M67" s="41" t="str">
        <f t="shared" ca="1" si="63"/>
        <v/>
      </c>
      <c r="N67" s="41" t="str">
        <f t="shared" ca="1" si="64"/>
        <v/>
      </c>
      <c r="O67" s="41" t="str">
        <f t="shared" ca="1" si="65"/>
        <v/>
      </c>
      <c r="P67" s="264" t="str">
        <f t="shared" ca="1" si="66"/>
        <v/>
      </c>
      <c r="Q67" s="362">
        <f t="shared" ca="1" si="52"/>
        <v>0</v>
      </c>
      <c r="R67" s="41">
        <f t="shared" ca="1" si="52"/>
        <v>0</v>
      </c>
      <c r="S67" s="41">
        <f t="shared" ca="1" si="52"/>
        <v>0</v>
      </c>
      <c r="T67" s="41">
        <f t="shared" ca="1" si="52"/>
        <v>0</v>
      </c>
      <c r="U67" s="41">
        <f t="shared" ca="1" si="52"/>
        <v>0</v>
      </c>
      <c r="V67" s="41">
        <f t="shared" ca="1" si="52"/>
        <v>0</v>
      </c>
      <c r="W67" s="264">
        <f t="shared" ca="1" si="67"/>
        <v>0</v>
      </c>
    </row>
    <row r="68" spans="1:23" ht="14.45" customHeight="1" x14ac:dyDescent="0.25">
      <c r="A68" s="65" t="s">
        <v>667</v>
      </c>
      <c r="B68" s="384" t="s">
        <v>93</v>
      </c>
      <c r="C68" s="263">
        <f t="shared" ca="1" si="53"/>
        <v>0</v>
      </c>
      <c r="D68" s="41" t="str">
        <f t="shared" ca="1" si="54"/>
        <v/>
      </c>
      <c r="E68" s="41" t="str">
        <f t="shared" ca="1" si="55"/>
        <v/>
      </c>
      <c r="F68" s="41" t="str">
        <f t="shared" ca="1" si="56"/>
        <v/>
      </c>
      <c r="G68" s="41" t="str">
        <f t="shared" ca="1" si="57"/>
        <v/>
      </c>
      <c r="H68" s="41" t="str">
        <f t="shared" ca="1" si="58"/>
        <v/>
      </c>
      <c r="I68" s="41" t="str">
        <f t="shared" ca="1" si="59"/>
        <v/>
      </c>
      <c r="J68" s="41" t="str">
        <f t="shared" ca="1" si="60"/>
        <v/>
      </c>
      <c r="K68" s="41" t="str">
        <f t="shared" ca="1" si="61"/>
        <v/>
      </c>
      <c r="L68" s="41" t="str">
        <f t="shared" ca="1" si="62"/>
        <v/>
      </c>
      <c r="M68" s="41" t="str">
        <f t="shared" ca="1" si="63"/>
        <v/>
      </c>
      <c r="N68" s="41" t="str">
        <f t="shared" ca="1" si="64"/>
        <v/>
      </c>
      <c r="O68" s="41" t="str">
        <f t="shared" ca="1" si="65"/>
        <v/>
      </c>
      <c r="P68" s="264" t="str">
        <f t="shared" ca="1" si="66"/>
        <v/>
      </c>
      <c r="Q68" s="362">
        <f t="shared" ca="1" si="52"/>
        <v>0</v>
      </c>
      <c r="R68" s="41">
        <f t="shared" ca="1" si="52"/>
        <v>0</v>
      </c>
      <c r="S68" s="41">
        <f t="shared" ca="1" si="52"/>
        <v>0</v>
      </c>
      <c r="T68" s="41">
        <f t="shared" ca="1" si="52"/>
        <v>0</v>
      </c>
      <c r="U68" s="41">
        <f t="shared" ca="1" si="52"/>
        <v>0</v>
      </c>
      <c r="V68" s="41">
        <f t="shared" ca="1" si="52"/>
        <v>0</v>
      </c>
      <c r="W68" s="264">
        <f t="shared" ca="1" si="67"/>
        <v>0</v>
      </c>
    </row>
    <row r="69" spans="1:23" ht="14.45" customHeight="1" x14ac:dyDescent="0.25">
      <c r="A69" s="65" t="s">
        <v>739</v>
      </c>
      <c r="B69" s="384" t="s">
        <v>93</v>
      </c>
      <c r="C69" s="263">
        <f t="shared" ca="1" si="53"/>
        <v>0</v>
      </c>
      <c r="D69" s="41" t="str">
        <f t="shared" ca="1" si="54"/>
        <v/>
      </c>
      <c r="E69" s="41" t="str">
        <f t="shared" ca="1" si="55"/>
        <v/>
      </c>
      <c r="F69" s="41" t="str">
        <f t="shared" ca="1" si="56"/>
        <v/>
      </c>
      <c r="G69" s="41" t="str">
        <f t="shared" ca="1" si="57"/>
        <v/>
      </c>
      <c r="H69" s="41" t="str">
        <f t="shared" ca="1" si="58"/>
        <v/>
      </c>
      <c r="I69" s="41" t="str">
        <f t="shared" ca="1" si="59"/>
        <v/>
      </c>
      <c r="J69" s="41" t="str">
        <f t="shared" ca="1" si="60"/>
        <v/>
      </c>
      <c r="K69" s="41" t="str">
        <f t="shared" ca="1" si="61"/>
        <v/>
      </c>
      <c r="L69" s="41" t="str">
        <f t="shared" ca="1" si="62"/>
        <v/>
      </c>
      <c r="M69" s="41" t="str">
        <f t="shared" ca="1" si="63"/>
        <v/>
      </c>
      <c r="N69" s="41" t="str">
        <f t="shared" ca="1" si="64"/>
        <v/>
      </c>
      <c r="O69" s="41" t="str">
        <f t="shared" ca="1" si="65"/>
        <v/>
      </c>
      <c r="P69" s="264" t="str">
        <f t="shared" ca="1" si="66"/>
        <v/>
      </c>
      <c r="Q69" s="362">
        <f t="shared" ca="1" si="52"/>
        <v>0</v>
      </c>
      <c r="R69" s="41">
        <f t="shared" ca="1" si="52"/>
        <v>0</v>
      </c>
      <c r="S69" s="41">
        <f t="shared" ca="1" si="52"/>
        <v>0</v>
      </c>
      <c r="T69" s="41">
        <f t="shared" ca="1" si="52"/>
        <v>0</v>
      </c>
      <c r="U69" s="41">
        <f t="shared" ca="1" si="52"/>
        <v>0</v>
      </c>
      <c r="V69" s="41">
        <f t="shared" ca="1" si="52"/>
        <v>0</v>
      </c>
      <c r="W69" s="264">
        <f t="shared" ca="1" si="67"/>
        <v>0</v>
      </c>
    </row>
    <row r="70" spans="1:23" ht="14.45" customHeight="1" x14ac:dyDescent="0.25">
      <c r="A70" s="65" t="s">
        <v>740</v>
      </c>
      <c r="B70" s="384" t="s">
        <v>93</v>
      </c>
      <c r="C70" s="263">
        <f t="shared" ca="1" si="53"/>
        <v>0</v>
      </c>
      <c r="D70" s="41" t="str">
        <f t="shared" ca="1" si="54"/>
        <v/>
      </c>
      <c r="E70" s="41" t="str">
        <f t="shared" ca="1" si="55"/>
        <v/>
      </c>
      <c r="F70" s="41" t="str">
        <f t="shared" ca="1" si="56"/>
        <v/>
      </c>
      <c r="G70" s="41" t="str">
        <f t="shared" ca="1" si="57"/>
        <v/>
      </c>
      <c r="H70" s="41" t="str">
        <f t="shared" ca="1" si="58"/>
        <v/>
      </c>
      <c r="I70" s="41" t="str">
        <f t="shared" ca="1" si="59"/>
        <v/>
      </c>
      <c r="J70" s="41" t="str">
        <f t="shared" ca="1" si="60"/>
        <v/>
      </c>
      <c r="K70" s="41" t="str">
        <f t="shared" ca="1" si="61"/>
        <v/>
      </c>
      <c r="L70" s="41" t="str">
        <f t="shared" ca="1" si="62"/>
        <v/>
      </c>
      <c r="M70" s="41" t="str">
        <f t="shared" ca="1" si="63"/>
        <v/>
      </c>
      <c r="N70" s="41" t="str">
        <f t="shared" ca="1" si="64"/>
        <v/>
      </c>
      <c r="O70" s="41" t="str">
        <f t="shared" ca="1" si="65"/>
        <v/>
      </c>
      <c r="P70" s="264" t="str">
        <f t="shared" ca="1" si="66"/>
        <v/>
      </c>
      <c r="Q70" s="362">
        <f t="shared" ca="1" si="52"/>
        <v>0</v>
      </c>
      <c r="R70" s="41">
        <f t="shared" ca="1" si="52"/>
        <v>0</v>
      </c>
      <c r="S70" s="41">
        <f t="shared" ca="1" si="52"/>
        <v>0</v>
      </c>
      <c r="T70" s="41">
        <f t="shared" ca="1" si="52"/>
        <v>0</v>
      </c>
      <c r="U70" s="41">
        <f t="shared" ca="1" si="52"/>
        <v>0</v>
      </c>
      <c r="V70" s="41">
        <f t="shared" ca="1" si="52"/>
        <v>0</v>
      </c>
      <c r="W70" s="264">
        <f t="shared" ca="1" si="67"/>
        <v>0</v>
      </c>
    </row>
    <row r="71" spans="1:23" ht="14.45" customHeight="1" x14ac:dyDescent="0.25">
      <c r="A71" s="65" t="s">
        <v>231</v>
      </c>
      <c r="B71" s="384" t="s">
        <v>93</v>
      </c>
      <c r="C71" s="263">
        <f t="shared" ca="1" si="53"/>
        <v>0</v>
      </c>
      <c r="D71" s="41" t="str">
        <f t="shared" ca="1" si="54"/>
        <v/>
      </c>
      <c r="E71" s="41" t="str">
        <f t="shared" ca="1" si="55"/>
        <v/>
      </c>
      <c r="F71" s="41" t="str">
        <f t="shared" ca="1" si="56"/>
        <v/>
      </c>
      <c r="G71" s="41" t="str">
        <f t="shared" ca="1" si="57"/>
        <v/>
      </c>
      <c r="H71" s="41" t="str">
        <f t="shared" ca="1" si="58"/>
        <v/>
      </c>
      <c r="I71" s="41" t="str">
        <f t="shared" ca="1" si="59"/>
        <v/>
      </c>
      <c r="J71" s="41" t="str">
        <f t="shared" ca="1" si="60"/>
        <v/>
      </c>
      <c r="K71" s="41" t="str">
        <f t="shared" ca="1" si="61"/>
        <v/>
      </c>
      <c r="L71" s="41" t="str">
        <f t="shared" ca="1" si="62"/>
        <v/>
      </c>
      <c r="M71" s="41" t="str">
        <f t="shared" ca="1" si="63"/>
        <v/>
      </c>
      <c r="N71" s="41" t="str">
        <f t="shared" ca="1" si="64"/>
        <v/>
      </c>
      <c r="O71" s="41" t="str">
        <f t="shared" ca="1" si="65"/>
        <v/>
      </c>
      <c r="P71" s="264" t="str">
        <f t="shared" ca="1" si="66"/>
        <v/>
      </c>
      <c r="Q71" s="362">
        <f t="shared" ca="1" si="52"/>
        <v>0</v>
      </c>
      <c r="R71" s="41">
        <f t="shared" ca="1" si="52"/>
        <v>0</v>
      </c>
      <c r="S71" s="41">
        <f t="shared" ca="1" si="52"/>
        <v>0</v>
      </c>
      <c r="T71" s="41">
        <f t="shared" ca="1" si="52"/>
        <v>0</v>
      </c>
      <c r="U71" s="41">
        <f t="shared" ca="1" si="52"/>
        <v>0</v>
      </c>
      <c r="V71" s="41">
        <f t="shared" ca="1" si="52"/>
        <v>0</v>
      </c>
      <c r="W71" s="264">
        <f t="shared" ca="1" si="67"/>
        <v>0</v>
      </c>
    </row>
    <row r="72" spans="1:23" ht="14.45" customHeight="1" x14ac:dyDescent="0.25">
      <c r="A72" s="65" t="s">
        <v>719</v>
      </c>
      <c r="B72" s="384" t="s">
        <v>93</v>
      </c>
      <c r="C72" s="263">
        <f t="shared" ca="1" si="53"/>
        <v>0</v>
      </c>
      <c r="D72" s="41" t="str">
        <f t="shared" ca="1" si="54"/>
        <v/>
      </c>
      <c r="E72" s="41" t="str">
        <f t="shared" ca="1" si="55"/>
        <v/>
      </c>
      <c r="F72" s="41" t="str">
        <f t="shared" ca="1" si="56"/>
        <v/>
      </c>
      <c r="G72" s="41" t="str">
        <f t="shared" ca="1" si="57"/>
        <v/>
      </c>
      <c r="H72" s="41" t="str">
        <f t="shared" ca="1" si="58"/>
        <v/>
      </c>
      <c r="I72" s="41" t="str">
        <f t="shared" ca="1" si="59"/>
        <v/>
      </c>
      <c r="J72" s="41" t="str">
        <f t="shared" ca="1" si="60"/>
        <v/>
      </c>
      <c r="K72" s="41" t="str">
        <f t="shared" ca="1" si="61"/>
        <v/>
      </c>
      <c r="L72" s="41" t="str">
        <f t="shared" ca="1" si="62"/>
        <v/>
      </c>
      <c r="M72" s="41" t="str">
        <f t="shared" ca="1" si="63"/>
        <v/>
      </c>
      <c r="N72" s="41" t="str">
        <f t="shared" ca="1" si="64"/>
        <v/>
      </c>
      <c r="O72" s="41" t="str">
        <f t="shared" ca="1" si="65"/>
        <v/>
      </c>
      <c r="P72" s="264" t="str">
        <f t="shared" ca="1" si="66"/>
        <v/>
      </c>
      <c r="Q72" s="362">
        <f t="shared" ca="1" si="52"/>
        <v>0</v>
      </c>
      <c r="R72" s="41">
        <f t="shared" ca="1" si="52"/>
        <v>0</v>
      </c>
      <c r="S72" s="41">
        <f t="shared" ca="1" si="52"/>
        <v>0</v>
      </c>
      <c r="T72" s="41">
        <f t="shared" ca="1" si="52"/>
        <v>0</v>
      </c>
      <c r="U72" s="41">
        <f t="shared" ca="1" si="52"/>
        <v>0</v>
      </c>
      <c r="V72" s="41">
        <f t="shared" ca="1" si="52"/>
        <v>0</v>
      </c>
      <c r="W72" s="264">
        <f t="shared" ca="1" si="67"/>
        <v>0</v>
      </c>
    </row>
    <row r="73" spans="1:23" ht="14.45" customHeight="1" x14ac:dyDescent="0.25">
      <c r="A73" s="65" t="s">
        <v>338</v>
      </c>
      <c r="B73" s="384" t="s">
        <v>138</v>
      </c>
      <c r="C73" s="263">
        <f t="shared" ca="1" si="53"/>
        <v>0</v>
      </c>
      <c r="D73" s="41" t="str">
        <f t="shared" ca="1" si="54"/>
        <v/>
      </c>
      <c r="E73" s="41" t="str">
        <f t="shared" ca="1" si="55"/>
        <v/>
      </c>
      <c r="F73" s="41" t="str">
        <f t="shared" ca="1" si="56"/>
        <v/>
      </c>
      <c r="G73" s="41" t="str">
        <f t="shared" ca="1" si="57"/>
        <v/>
      </c>
      <c r="H73" s="41" t="str">
        <f t="shared" ca="1" si="58"/>
        <v/>
      </c>
      <c r="I73" s="41" t="str">
        <f t="shared" ca="1" si="59"/>
        <v/>
      </c>
      <c r="J73" s="41" t="str">
        <f t="shared" ca="1" si="60"/>
        <v/>
      </c>
      <c r="K73" s="41" t="str">
        <f t="shared" ca="1" si="61"/>
        <v/>
      </c>
      <c r="L73" s="41" t="str">
        <f t="shared" ca="1" si="62"/>
        <v/>
      </c>
      <c r="M73" s="41" t="str">
        <f t="shared" ca="1" si="63"/>
        <v/>
      </c>
      <c r="N73" s="41" t="str">
        <f t="shared" ca="1" si="64"/>
        <v/>
      </c>
      <c r="O73" s="41" t="str">
        <f t="shared" ca="1" si="65"/>
        <v/>
      </c>
      <c r="P73" s="264" t="str">
        <f t="shared" ca="1" si="66"/>
        <v/>
      </c>
      <c r="Q73" s="362">
        <f t="shared" ca="1" si="52"/>
        <v>0</v>
      </c>
      <c r="R73" s="41">
        <f t="shared" ca="1" si="52"/>
        <v>0</v>
      </c>
      <c r="S73" s="41">
        <f t="shared" ca="1" si="52"/>
        <v>0</v>
      </c>
      <c r="T73" s="41">
        <f t="shared" ca="1" si="52"/>
        <v>0</v>
      </c>
      <c r="U73" s="41">
        <f t="shared" ca="1" si="52"/>
        <v>0</v>
      </c>
      <c r="V73" s="41">
        <f t="shared" ca="1" si="52"/>
        <v>0</v>
      </c>
      <c r="W73" s="264">
        <f t="shared" ca="1" si="67"/>
        <v>0</v>
      </c>
    </row>
    <row r="74" spans="1:23" ht="14.45" customHeight="1" x14ac:dyDescent="0.25">
      <c r="A74" s="65" t="s">
        <v>678</v>
      </c>
      <c r="B74" s="384" t="s">
        <v>138</v>
      </c>
      <c r="C74" s="263">
        <f t="shared" ca="1" si="53"/>
        <v>0</v>
      </c>
      <c r="D74" s="41" t="str">
        <f t="shared" ca="1" si="54"/>
        <v/>
      </c>
      <c r="E74" s="41" t="str">
        <f t="shared" ca="1" si="55"/>
        <v/>
      </c>
      <c r="F74" s="41" t="str">
        <f t="shared" ca="1" si="56"/>
        <v/>
      </c>
      <c r="G74" s="41" t="str">
        <f t="shared" ca="1" si="57"/>
        <v/>
      </c>
      <c r="H74" s="41" t="str">
        <f t="shared" ca="1" si="58"/>
        <v/>
      </c>
      <c r="I74" s="41" t="str">
        <f t="shared" ca="1" si="59"/>
        <v/>
      </c>
      <c r="J74" s="41" t="str">
        <f t="shared" ca="1" si="60"/>
        <v/>
      </c>
      <c r="K74" s="41" t="str">
        <f t="shared" ca="1" si="61"/>
        <v/>
      </c>
      <c r="L74" s="41" t="str">
        <f t="shared" ca="1" si="62"/>
        <v/>
      </c>
      <c r="M74" s="41" t="str">
        <f t="shared" ca="1" si="63"/>
        <v/>
      </c>
      <c r="N74" s="41" t="str">
        <f t="shared" ca="1" si="64"/>
        <v/>
      </c>
      <c r="O74" s="41" t="str">
        <f t="shared" ca="1" si="65"/>
        <v/>
      </c>
      <c r="P74" s="264" t="str">
        <f t="shared" ca="1" si="66"/>
        <v/>
      </c>
      <c r="Q74" s="362">
        <f t="shared" ref="Q74:V75" ca="1" si="68">SUMIF($C$4:$P$4,"="&amp;Q$6,$C74:$P74)</f>
        <v>0</v>
      </c>
      <c r="R74" s="41">
        <f t="shared" ca="1" si="68"/>
        <v>0</v>
      </c>
      <c r="S74" s="41">
        <f t="shared" ca="1" si="68"/>
        <v>0</v>
      </c>
      <c r="T74" s="41">
        <f t="shared" ca="1" si="68"/>
        <v>0</v>
      </c>
      <c r="U74" s="41">
        <f t="shared" ca="1" si="68"/>
        <v>0</v>
      </c>
      <c r="V74" s="41">
        <f t="shared" ca="1" si="68"/>
        <v>0</v>
      </c>
      <c r="W74" s="264">
        <f t="shared" ca="1" si="67"/>
        <v>0</v>
      </c>
    </row>
    <row r="75" spans="1:23" ht="14.45" customHeight="1" thickBot="1" x14ac:dyDescent="0.3">
      <c r="A75" s="65" t="s">
        <v>339</v>
      </c>
      <c r="B75" s="384" t="s">
        <v>138</v>
      </c>
      <c r="C75" s="268">
        <f t="shared" ca="1" si="53"/>
        <v>0</v>
      </c>
      <c r="D75" s="269" t="str">
        <f t="shared" ca="1" si="54"/>
        <v/>
      </c>
      <c r="E75" s="269" t="str">
        <f t="shared" ca="1" si="55"/>
        <v/>
      </c>
      <c r="F75" s="269" t="str">
        <f t="shared" ca="1" si="56"/>
        <v/>
      </c>
      <c r="G75" s="269" t="str">
        <f t="shared" ca="1" si="57"/>
        <v/>
      </c>
      <c r="H75" s="269" t="str">
        <f t="shared" ca="1" si="58"/>
        <v/>
      </c>
      <c r="I75" s="269" t="str">
        <f t="shared" ca="1" si="59"/>
        <v/>
      </c>
      <c r="J75" s="269" t="str">
        <f t="shared" ca="1" si="60"/>
        <v/>
      </c>
      <c r="K75" s="269" t="str">
        <f t="shared" ca="1" si="61"/>
        <v/>
      </c>
      <c r="L75" s="269" t="str">
        <f t="shared" ca="1" si="62"/>
        <v/>
      </c>
      <c r="M75" s="269" t="str">
        <f t="shared" ca="1" si="63"/>
        <v/>
      </c>
      <c r="N75" s="269" t="str">
        <f t="shared" ca="1" si="64"/>
        <v/>
      </c>
      <c r="O75" s="269" t="str">
        <f t="shared" ca="1" si="65"/>
        <v/>
      </c>
      <c r="P75" s="270" t="str">
        <f t="shared" ca="1" si="66"/>
        <v/>
      </c>
      <c r="Q75" s="362">
        <f t="shared" ca="1" si="68"/>
        <v>0</v>
      </c>
      <c r="R75" s="41">
        <f t="shared" ca="1" si="68"/>
        <v>0</v>
      </c>
      <c r="S75" s="41">
        <f t="shared" ca="1" si="68"/>
        <v>0</v>
      </c>
      <c r="T75" s="41">
        <f t="shared" ca="1" si="68"/>
        <v>0</v>
      </c>
      <c r="U75" s="41">
        <f t="shared" ca="1" si="68"/>
        <v>0</v>
      </c>
      <c r="V75" s="41">
        <f t="shared" ca="1" si="68"/>
        <v>0</v>
      </c>
      <c r="W75" s="264">
        <f t="shared" ca="1" si="67"/>
        <v>0</v>
      </c>
    </row>
    <row r="76" spans="1:23" ht="14.45" customHeight="1" x14ac:dyDescent="0.25">
      <c r="A76" s="279"/>
      <c r="B76" s="409"/>
      <c r="C76" s="379"/>
      <c r="D76" s="380"/>
      <c r="E76" s="380"/>
      <c r="F76" s="380"/>
      <c r="G76" s="380"/>
      <c r="H76" s="380"/>
      <c r="I76" s="380"/>
      <c r="J76" s="380"/>
      <c r="K76" s="380"/>
      <c r="L76" s="380"/>
      <c r="M76" s="380"/>
      <c r="N76" s="380"/>
      <c r="O76" s="380"/>
      <c r="P76" s="422"/>
      <c r="Q76" s="262"/>
      <c r="R76" s="51"/>
      <c r="S76" s="51"/>
      <c r="T76" s="51"/>
      <c r="U76" s="51"/>
      <c r="V76" s="51"/>
      <c r="W76" s="265"/>
    </row>
    <row r="77" spans="1:23" ht="14.45" customHeight="1" thickBot="1" x14ac:dyDescent="0.3">
      <c r="A77" s="281" t="s">
        <v>113</v>
      </c>
      <c r="B77" s="410"/>
      <c r="C77" s="377"/>
      <c r="D77" s="378"/>
      <c r="E77" s="378"/>
      <c r="F77" s="378"/>
      <c r="G77" s="378"/>
      <c r="H77" s="378"/>
      <c r="I77" s="378"/>
      <c r="J77" s="378"/>
      <c r="K77" s="378"/>
      <c r="L77" s="378"/>
      <c r="M77" s="378"/>
      <c r="N77" s="378"/>
      <c r="O77" s="378"/>
      <c r="P77" s="421"/>
      <c r="Q77" s="262"/>
      <c r="R77" s="51"/>
      <c r="S77" s="51"/>
      <c r="T77" s="51"/>
      <c r="U77" s="51"/>
      <c r="V77" s="51"/>
      <c r="W77" s="265"/>
    </row>
    <row r="78" spans="1:23" ht="14.45" customHeight="1" x14ac:dyDescent="0.25">
      <c r="A78" s="280" t="s">
        <v>164</v>
      </c>
      <c r="B78" s="385" t="s">
        <v>93</v>
      </c>
      <c r="C78" s="381">
        <f ca="1">IFERROR(INDIRECT(CONCATENATE("'",C$6,"'!",ADDRESS(ROW(A77)+208,6,4))),"")</f>
        <v>0</v>
      </c>
      <c r="D78" s="382" t="str">
        <f t="shared" ref="D78:P78" ca="1" si="69">IFERROR(INDIRECT(CONCATENATE("'",D$6,"'!",ADDRESS(ROW(B77)+208,6,4))),"")</f>
        <v/>
      </c>
      <c r="E78" s="382" t="str">
        <f t="shared" ca="1" si="69"/>
        <v/>
      </c>
      <c r="F78" s="382" t="str">
        <f t="shared" ca="1" si="69"/>
        <v/>
      </c>
      <c r="G78" s="382" t="str">
        <f t="shared" ca="1" si="69"/>
        <v/>
      </c>
      <c r="H78" s="382" t="str">
        <f t="shared" ca="1" si="69"/>
        <v/>
      </c>
      <c r="I78" s="382" t="str">
        <f t="shared" ca="1" si="69"/>
        <v/>
      </c>
      <c r="J78" s="382" t="str">
        <f t="shared" ca="1" si="69"/>
        <v/>
      </c>
      <c r="K78" s="382" t="str">
        <f t="shared" ca="1" si="69"/>
        <v/>
      </c>
      <c r="L78" s="382" t="str">
        <f t="shared" ca="1" si="69"/>
        <v/>
      </c>
      <c r="M78" s="382" t="str">
        <f t="shared" ca="1" si="69"/>
        <v/>
      </c>
      <c r="N78" s="382" t="str">
        <f t="shared" ca="1" si="69"/>
        <v/>
      </c>
      <c r="O78" s="382" t="str">
        <f t="shared" ca="1" si="69"/>
        <v/>
      </c>
      <c r="P78" s="383" t="str">
        <f t="shared" ca="1" si="69"/>
        <v/>
      </c>
      <c r="Q78" s="362">
        <f t="shared" ref="Q78:V82" ca="1" si="70">SUMIF($C$4:$P$4,"="&amp;Q$6,$C78:$P78)</f>
        <v>0</v>
      </c>
      <c r="R78" s="41">
        <f t="shared" ca="1" si="70"/>
        <v>0</v>
      </c>
      <c r="S78" s="41">
        <f t="shared" ca="1" si="70"/>
        <v>0</v>
      </c>
      <c r="T78" s="41">
        <f t="shared" ca="1" si="70"/>
        <v>0</v>
      </c>
      <c r="U78" s="41">
        <f t="shared" ca="1" si="70"/>
        <v>0</v>
      </c>
      <c r="V78" s="41">
        <f t="shared" ca="1" si="70"/>
        <v>0</v>
      </c>
      <c r="W78" s="264">
        <f ca="1">SUM(Q78:V78)</f>
        <v>0</v>
      </c>
    </row>
    <row r="79" spans="1:23" ht="14.45" customHeight="1" x14ac:dyDescent="0.25">
      <c r="A79" s="280" t="s">
        <v>165</v>
      </c>
      <c r="B79" s="385" t="s">
        <v>93</v>
      </c>
      <c r="C79" s="263">
        <f t="shared" ref="C79:C82" ca="1" si="71">IFERROR(INDIRECT(CONCATENATE("'",C$6,"'!",ADDRESS(ROW(A78)+208,6,4))),"")</f>
        <v>0</v>
      </c>
      <c r="D79" s="41" t="str">
        <f t="shared" ref="D79:D82" ca="1" si="72">IFERROR(INDIRECT(CONCATENATE("'",D$6,"'!",ADDRESS(ROW(B78)+208,6,4))),"")</f>
        <v/>
      </c>
      <c r="E79" s="41" t="str">
        <f t="shared" ref="E79:E82" ca="1" si="73">IFERROR(INDIRECT(CONCATENATE("'",E$6,"'!",ADDRESS(ROW(C78)+208,6,4))),"")</f>
        <v/>
      </c>
      <c r="F79" s="41" t="str">
        <f t="shared" ref="F79:F82" ca="1" si="74">IFERROR(INDIRECT(CONCATENATE("'",F$6,"'!",ADDRESS(ROW(D78)+208,6,4))),"")</f>
        <v/>
      </c>
      <c r="G79" s="41" t="str">
        <f t="shared" ref="G79:G82" ca="1" si="75">IFERROR(INDIRECT(CONCATENATE("'",G$6,"'!",ADDRESS(ROW(E78)+208,6,4))),"")</f>
        <v/>
      </c>
      <c r="H79" s="41" t="str">
        <f t="shared" ref="H79:H82" ca="1" si="76">IFERROR(INDIRECT(CONCATENATE("'",H$6,"'!",ADDRESS(ROW(F78)+208,6,4))),"")</f>
        <v/>
      </c>
      <c r="I79" s="41" t="str">
        <f t="shared" ref="I79:I82" ca="1" si="77">IFERROR(INDIRECT(CONCATENATE("'",I$6,"'!",ADDRESS(ROW(G78)+208,6,4))),"")</f>
        <v/>
      </c>
      <c r="J79" s="41" t="str">
        <f t="shared" ref="J79:J82" ca="1" si="78">IFERROR(INDIRECT(CONCATENATE("'",J$6,"'!",ADDRESS(ROW(H78)+208,6,4))),"")</f>
        <v/>
      </c>
      <c r="K79" s="41" t="str">
        <f t="shared" ref="K79:K82" ca="1" si="79">IFERROR(INDIRECT(CONCATENATE("'",K$6,"'!",ADDRESS(ROW(I78)+208,6,4))),"")</f>
        <v/>
      </c>
      <c r="L79" s="41" t="str">
        <f t="shared" ref="L79:L82" ca="1" si="80">IFERROR(INDIRECT(CONCATENATE("'",L$6,"'!",ADDRESS(ROW(J78)+208,6,4))),"")</f>
        <v/>
      </c>
      <c r="M79" s="41" t="str">
        <f t="shared" ref="M79:M82" ca="1" si="81">IFERROR(INDIRECT(CONCATENATE("'",M$6,"'!",ADDRESS(ROW(K78)+208,6,4))),"")</f>
        <v/>
      </c>
      <c r="N79" s="41" t="str">
        <f t="shared" ref="N79:N82" ca="1" si="82">IFERROR(INDIRECT(CONCATENATE("'",N$6,"'!",ADDRESS(ROW(L78)+208,6,4))),"")</f>
        <v/>
      </c>
      <c r="O79" s="41" t="str">
        <f t="shared" ref="O79:O82" ca="1" si="83">IFERROR(INDIRECT(CONCATENATE("'",O$6,"'!",ADDRESS(ROW(M78)+208,6,4))),"")</f>
        <v/>
      </c>
      <c r="P79" s="264" t="str">
        <f t="shared" ref="P79:P82" ca="1" si="84">IFERROR(INDIRECT(CONCATENATE("'",P$6,"'!",ADDRESS(ROW(N78)+208,6,4))),"")</f>
        <v/>
      </c>
      <c r="Q79" s="362">
        <f t="shared" ca="1" si="70"/>
        <v>0</v>
      </c>
      <c r="R79" s="41">
        <f t="shared" ca="1" si="70"/>
        <v>0</v>
      </c>
      <c r="S79" s="41">
        <f t="shared" ca="1" si="70"/>
        <v>0</v>
      </c>
      <c r="T79" s="41">
        <f t="shared" ca="1" si="70"/>
        <v>0</v>
      </c>
      <c r="U79" s="41">
        <f t="shared" ca="1" si="70"/>
        <v>0</v>
      </c>
      <c r="V79" s="41">
        <f t="shared" ca="1" si="70"/>
        <v>0</v>
      </c>
      <c r="W79" s="264">
        <f ca="1">SUM(Q79:V79)</f>
        <v>0</v>
      </c>
    </row>
    <row r="80" spans="1:23" ht="14.45" customHeight="1" x14ac:dyDescent="0.25">
      <c r="A80" s="280" t="s">
        <v>166</v>
      </c>
      <c r="B80" s="385" t="s">
        <v>138</v>
      </c>
      <c r="C80" s="263">
        <f t="shared" ca="1" si="71"/>
        <v>0</v>
      </c>
      <c r="D80" s="41" t="str">
        <f t="shared" ca="1" si="72"/>
        <v/>
      </c>
      <c r="E80" s="41" t="str">
        <f t="shared" ca="1" si="73"/>
        <v/>
      </c>
      <c r="F80" s="41" t="str">
        <f t="shared" ca="1" si="74"/>
        <v/>
      </c>
      <c r="G80" s="41" t="str">
        <f t="shared" ca="1" si="75"/>
        <v/>
      </c>
      <c r="H80" s="41" t="str">
        <f t="shared" ca="1" si="76"/>
        <v/>
      </c>
      <c r="I80" s="41" t="str">
        <f t="shared" ca="1" si="77"/>
        <v/>
      </c>
      <c r="J80" s="41" t="str">
        <f t="shared" ca="1" si="78"/>
        <v/>
      </c>
      <c r="K80" s="41" t="str">
        <f t="shared" ca="1" si="79"/>
        <v/>
      </c>
      <c r="L80" s="41" t="str">
        <f t="shared" ca="1" si="80"/>
        <v/>
      </c>
      <c r="M80" s="41" t="str">
        <f t="shared" ca="1" si="81"/>
        <v/>
      </c>
      <c r="N80" s="41" t="str">
        <f t="shared" ca="1" si="82"/>
        <v/>
      </c>
      <c r="O80" s="41" t="str">
        <f t="shared" ca="1" si="83"/>
        <v/>
      </c>
      <c r="P80" s="264" t="str">
        <f t="shared" ca="1" si="84"/>
        <v/>
      </c>
      <c r="Q80" s="362">
        <f t="shared" ca="1" si="70"/>
        <v>0</v>
      </c>
      <c r="R80" s="41">
        <f t="shared" ca="1" si="70"/>
        <v>0</v>
      </c>
      <c r="S80" s="41">
        <f t="shared" ca="1" si="70"/>
        <v>0</v>
      </c>
      <c r="T80" s="41">
        <f t="shared" ca="1" si="70"/>
        <v>0</v>
      </c>
      <c r="U80" s="41">
        <f t="shared" ca="1" si="70"/>
        <v>0</v>
      </c>
      <c r="V80" s="41">
        <f t="shared" ca="1" si="70"/>
        <v>0</v>
      </c>
      <c r="W80" s="264">
        <f ca="1">SUM(Q80:V80)</f>
        <v>0</v>
      </c>
    </row>
    <row r="81" spans="1:23" ht="14.45" customHeight="1" x14ac:dyDescent="0.25">
      <c r="A81" s="280" t="str">
        <f>'User Defined Factors'!A56</f>
        <v>User-defined conventional energy transportation #1</v>
      </c>
      <c r="B81" s="376" t="str">
        <f>'User Defined Factors'!B56</f>
        <v>TBD</v>
      </c>
      <c r="C81" s="263">
        <f t="shared" ca="1" si="71"/>
        <v>10</v>
      </c>
      <c r="D81" s="41" t="str">
        <f t="shared" ca="1" si="72"/>
        <v/>
      </c>
      <c r="E81" s="41" t="str">
        <f t="shared" ca="1" si="73"/>
        <v/>
      </c>
      <c r="F81" s="41" t="str">
        <f t="shared" ca="1" si="74"/>
        <v/>
      </c>
      <c r="G81" s="41" t="str">
        <f t="shared" ca="1" si="75"/>
        <v/>
      </c>
      <c r="H81" s="41" t="str">
        <f t="shared" ca="1" si="76"/>
        <v/>
      </c>
      <c r="I81" s="41" t="str">
        <f t="shared" ca="1" si="77"/>
        <v/>
      </c>
      <c r="J81" s="41" t="str">
        <f t="shared" ca="1" si="78"/>
        <v/>
      </c>
      <c r="K81" s="41" t="str">
        <f t="shared" ca="1" si="79"/>
        <v/>
      </c>
      <c r="L81" s="41" t="str">
        <f t="shared" ca="1" si="80"/>
        <v/>
      </c>
      <c r="M81" s="41" t="str">
        <f t="shared" ca="1" si="81"/>
        <v/>
      </c>
      <c r="N81" s="41" t="str">
        <f t="shared" ca="1" si="82"/>
        <v/>
      </c>
      <c r="O81" s="41" t="str">
        <f t="shared" ca="1" si="83"/>
        <v/>
      </c>
      <c r="P81" s="264" t="str">
        <f t="shared" ca="1" si="84"/>
        <v/>
      </c>
      <c r="Q81" s="362">
        <f t="shared" ca="1" si="70"/>
        <v>10</v>
      </c>
      <c r="R81" s="41">
        <f t="shared" ca="1" si="70"/>
        <v>0</v>
      </c>
      <c r="S81" s="41">
        <f t="shared" ca="1" si="70"/>
        <v>0</v>
      </c>
      <c r="T81" s="41">
        <f t="shared" ca="1" si="70"/>
        <v>0</v>
      </c>
      <c r="U81" s="41">
        <f t="shared" ca="1" si="70"/>
        <v>0</v>
      </c>
      <c r="V81" s="41">
        <f t="shared" ca="1" si="70"/>
        <v>0</v>
      </c>
      <c r="W81" s="264">
        <f ca="1">SUM(Q81:V81)</f>
        <v>10</v>
      </c>
    </row>
    <row r="82" spans="1:23" ht="14.45" customHeight="1" thickBot="1" x14ac:dyDescent="0.3">
      <c r="A82" s="280" t="str">
        <f>'User Defined Factors'!A57</f>
        <v>User-defined conventional energy transportation #2</v>
      </c>
      <c r="B82" s="376" t="str">
        <f>'User Defined Factors'!B57</f>
        <v>TBD</v>
      </c>
      <c r="C82" s="268">
        <f t="shared" ca="1" si="71"/>
        <v>0</v>
      </c>
      <c r="D82" s="269" t="str">
        <f t="shared" ca="1" si="72"/>
        <v/>
      </c>
      <c r="E82" s="269" t="str">
        <f t="shared" ca="1" si="73"/>
        <v/>
      </c>
      <c r="F82" s="269" t="str">
        <f t="shared" ca="1" si="74"/>
        <v/>
      </c>
      <c r="G82" s="269" t="str">
        <f t="shared" ca="1" si="75"/>
        <v/>
      </c>
      <c r="H82" s="269" t="str">
        <f t="shared" ca="1" si="76"/>
        <v/>
      </c>
      <c r="I82" s="269" t="str">
        <f t="shared" ca="1" si="77"/>
        <v/>
      </c>
      <c r="J82" s="269" t="str">
        <f t="shared" ca="1" si="78"/>
        <v/>
      </c>
      <c r="K82" s="269" t="str">
        <f t="shared" ca="1" si="79"/>
        <v/>
      </c>
      <c r="L82" s="269" t="str">
        <f t="shared" ca="1" si="80"/>
        <v/>
      </c>
      <c r="M82" s="269" t="str">
        <f t="shared" ca="1" si="81"/>
        <v/>
      </c>
      <c r="N82" s="269" t="str">
        <f t="shared" ca="1" si="82"/>
        <v/>
      </c>
      <c r="O82" s="269" t="str">
        <f t="shared" ca="1" si="83"/>
        <v/>
      </c>
      <c r="P82" s="270" t="str">
        <f t="shared" ca="1" si="84"/>
        <v/>
      </c>
      <c r="Q82" s="362">
        <f t="shared" ca="1" si="70"/>
        <v>0</v>
      </c>
      <c r="R82" s="41">
        <f t="shared" ca="1" si="70"/>
        <v>0</v>
      </c>
      <c r="S82" s="41">
        <f t="shared" ca="1" si="70"/>
        <v>0</v>
      </c>
      <c r="T82" s="41">
        <f t="shared" ca="1" si="70"/>
        <v>0</v>
      </c>
      <c r="U82" s="41">
        <f t="shared" ca="1" si="70"/>
        <v>0</v>
      </c>
      <c r="V82" s="41">
        <f t="shared" ca="1" si="70"/>
        <v>0</v>
      </c>
      <c r="W82" s="264">
        <f ca="1">SUM(Q82:V82)</f>
        <v>0</v>
      </c>
    </row>
    <row r="83" spans="1:23" x14ac:dyDescent="0.25">
      <c r="A83" s="282"/>
      <c r="B83" s="385"/>
      <c r="C83" s="379"/>
      <c r="D83" s="380"/>
      <c r="E83" s="380"/>
      <c r="F83" s="380"/>
      <c r="G83" s="380"/>
      <c r="H83" s="380"/>
      <c r="I83" s="380"/>
      <c r="J83" s="380"/>
      <c r="K83" s="380"/>
      <c r="L83" s="380"/>
      <c r="M83" s="380"/>
      <c r="N83" s="380"/>
      <c r="O83" s="380"/>
      <c r="P83" s="422"/>
      <c r="Q83" s="262"/>
      <c r="R83" s="51"/>
      <c r="S83" s="51"/>
      <c r="T83" s="51"/>
      <c r="U83" s="51"/>
      <c r="V83" s="51"/>
      <c r="W83" s="265"/>
    </row>
    <row r="84" spans="1:23" ht="15.75" thickBot="1" x14ac:dyDescent="0.3">
      <c r="A84" s="281" t="s">
        <v>117</v>
      </c>
      <c r="B84" s="385"/>
      <c r="C84" s="377"/>
      <c r="D84" s="378"/>
      <c r="E84" s="378"/>
      <c r="F84" s="378"/>
      <c r="G84" s="378"/>
      <c r="H84" s="378"/>
      <c r="I84" s="378"/>
      <c r="J84" s="378"/>
      <c r="K84" s="378"/>
      <c r="L84" s="378"/>
      <c r="M84" s="378"/>
      <c r="N84" s="378"/>
      <c r="O84" s="378"/>
      <c r="P84" s="421"/>
      <c r="Q84" s="262"/>
      <c r="R84" s="51"/>
      <c r="S84" s="51"/>
      <c r="T84" s="51"/>
      <c r="U84" s="51"/>
      <c r="V84" s="51"/>
      <c r="W84" s="265"/>
    </row>
    <row r="85" spans="1:23" x14ac:dyDescent="0.25">
      <c r="A85" s="280" t="s">
        <v>154</v>
      </c>
      <c r="B85" s="385" t="s">
        <v>93</v>
      </c>
      <c r="C85" s="381">
        <f ca="1">IFERROR(INDIRECT(CONCATENATE("'",C$6,"'!",ADDRESS(ROW(A84)+208,6,4))),"")</f>
        <v>0</v>
      </c>
      <c r="D85" s="382" t="str">
        <f t="shared" ref="D85:P85" ca="1" si="85">IFERROR(INDIRECT(CONCATENATE("'",D$6,"'!",ADDRESS(ROW(B84)+208,6,4))),"")</f>
        <v/>
      </c>
      <c r="E85" s="382" t="str">
        <f t="shared" ca="1" si="85"/>
        <v/>
      </c>
      <c r="F85" s="382" t="str">
        <f t="shared" ca="1" si="85"/>
        <v/>
      </c>
      <c r="G85" s="382" t="str">
        <f t="shared" ca="1" si="85"/>
        <v/>
      </c>
      <c r="H85" s="382" t="str">
        <f t="shared" ca="1" si="85"/>
        <v/>
      </c>
      <c r="I85" s="382" t="str">
        <f t="shared" ca="1" si="85"/>
        <v/>
      </c>
      <c r="J85" s="382" t="str">
        <f t="shared" ca="1" si="85"/>
        <v/>
      </c>
      <c r="K85" s="382" t="str">
        <f t="shared" ca="1" si="85"/>
        <v/>
      </c>
      <c r="L85" s="382" t="str">
        <f t="shared" ca="1" si="85"/>
        <v/>
      </c>
      <c r="M85" s="382" t="str">
        <f t="shared" ca="1" si="85"/>
        <v/>
      </c>
      <c r="N85" s="382" t="str">
        <f t="shared" ca="1" si="85"/>
        <v/>
      </c>
      <c r="O85" s="382" t="str">
        <f t="shared" ca="1" si="85"/>
        <v/>
      </c>
      <c r="P85" s="383" t="str">
        <f t="shared" ca="1" si="85"/>
        <v/>
      </c>
      <c r="Q85" s="362">
        <f t="shared" ref="Q85:V87" ca="1" si="86">SUMIF($C$4:$P$4,"="&amp;Q$6,$C85:$P85)</f>
        <v>0</v>
      </c>
      <c r="R85" s="41">
        <f t="shared" ca="1" si="86"/>
        <v>0</v>
      </c>
      <c r="S85" s="41">
        <f t="shared" ca="1" si="86"/>
        <v>0</v>
      </c>
      <c r="T85" s="41">
        <f t="shared" ca="1" si="86"/>
        <v>0</v>
      </c>
      <c r="U85" s="41">
        <f t="shared" ca="1" si="86"/>
        <v>0</v>
      </c>
      <c r="V85" s="41">
        <f t="shared" ca="1" si="86"/>
        <v>0</v>
      </c>
      <c r="W85" s="264">
        <f ca="1">SUM(Q85:V85)</f>
        <v>0</v>
      </c>
    </row>
    <row r="86" spans="1:23" x14ac:dyDescent="0.25">
      <c r="A86" s="280" t="str">
        <f>'User Defined Factors'!A60</f>
        <v>User-defined renewable energy transportation #1</v>
      </c>
      <c r="B86" s="376" t="str">
        <f>'User Defined Factors'!B60</f>
        <v>TBD</v>
      </c>
      <c r="C86" s="263">
        <f t="shared" ref="C86:C87" ca="1" si="87">IFERROR(INDIRECT(CONCATENATE("'",C$6,"'!",ADDRESS(ROW(A85)+208,6,4))),"")</f>
        <v>0</v>
      </c>
      <c r="D86" s="41" t="str">
        <f t="shared" ref="D86:D87" ca="1" si="88">IFERROR(INDIRECT(CONCATENATE("'",D$6,"'!",ADDRESS(ROW(B85)+208,6,4))),"")</f>
        <v/>
      </c>
      <c r="E86" s="41" t="str">
        <f t="shared" ref="E86:E87" ca="1" si="89">IFERROR(INDIRECT(CONCATENATE("'",E$6,"'!",ADDRESS(ROW(C85)+208,6,4))),"")</f>
        <v/>
      </c>
      <c r="F86" s="41" t="str">
        <f t="shared" ref="F86:F87" ca="1" si="90">IFERROR(INDIRECT(CONCATENATE("'",F$6,"'!",ADDRESS(ROW(D85)+208,6,4))),"")</f>
        <v/>
      </c>
      <c r="G86" s="41" t="str">
        <f t="shared" ref="G86:G87" ca="1" si="91">IFERROR(INDIRECT(CONCATENATE("'",G$6,"'!",ADDRESS(ROW(E85)+208,6,4))),"")</f>
        <v/>
      </c>
      <c r="H86" s="41" t="str">
        <f t="shared" ref="H86:H87" ca="1" si="92">IFERROR(INDIRECT(CONCATENATE("'",H$6,"'!",ADDRESS(ROW(F85)+208,6,4))),"")</f>
        <v/>
      </c>
      <c r="I86" s="41" t="str">
        <f t="shared" ref="I86:I87" ca="1" si="93">IFERROR(INDIRECT(CONCATENATE("'",I$6,"'!",ADDRESS(ROW(G85)+208,6,4))),"")</f>
        <v/>
      </c>
      <c r="J86" s="41" t="str">
        <f t="shared" ref="J86:J87" ca="1" si="94">IFERROR(INDIRECT(CONCATENATE("'",J$6,"'!",ADDRESS(ROW(H85)+208,6,4))),"")</f>
        <v/>
      </c>
      <c r="K86" s="41" t="str">
        <f t="shared" ref="K86:K87" ca="1" si="95">IFERROR(INDIRECT(CONCATENATE("'",K$6,"'!",ADDRESS(ROW(I85)+208,6,4))),"")</f>
        <v/>
      </c>
      <c r="L86" s="41" t="str">
        <f t="shared" ref="L86:L87" ca="1" si="96">IFERROR(INDIRECT(CONCATENATE("'",L$6,"'!",ADDRESS(ROW(J85)+208,6,4))),"")</f>
        <v/>
      </c>
      <c r="M86" s="41" t="str">
        <f t="shared" ref="M86:M87" ca="1" si="97">IFERROR(INDIRECT(CONCATENATE("'",M$6,"'!",ADDRESS(ROW(K85)+208,6,4))),"")</f>
        <v/>
      </c>
      <c r="N86" s="41" t="str">
        <f t="shared" ref="N86:N87" ca="1" si="98">IFERROR(INDIRECT(CONCATENATE("'",N$6,"'!",ADDRESS(ROW(L85)+208,6,4))),"")</f>
        <v/>
      </c>
      <c r="O86" s="41" t="str">
        <f t="shared" ref="O86:O87" ca="1" si="99">IFERROR(INDIRECT(CONCATENATE("'",O$6,"'!",ADDRESS(ROW(M85)+208,6,4))),"")</f>
        <v/>
      </c>
      <c r="P86" s="264" t="str">
        <f t="shared" ref="P86:P87" ca="1" si="100">IFERROR(INDIRECT(CONCATENATE("'",P$6,"'!",ADDRESS(ROW(N85)+208,6,4))),"")</f>
        <v/>
      </c>
      <c r="Q86" s="362">
        <f t="shared" ca="1" si="86"/>
        <v>0</v>
      </c>
      <c r="R86" s="41">
        <f t="shared" ca="1" si="86"/>
        <v>0</v>
      </c>
      <c r="S86" s="41">
        <f t="shared" ca="1" si="86"/>
        <v>0</v>
      </c>
      <c r="T86" s="41">
        <f t="shared" ca="1" si="86"/>
        <v>0</v>
      </c>
      <c r="U86" s="41">
        <f t="shared" ca="1" si="86"/>
        <v>0</v>
      </c>
      <c r="V86" s="41">
        <f t="shared" ca="1" si="86"/>
        <v>0</v>
      </c>
      <c r="W86" s="264">
        <f ca="1">SUM(Q86:V86)</f>
        <v>0</v>
      </c>
    </row>
    <row r="87" spans="1:23" ht="15.75" thickBot="1" x14ac:dyDescent="0.3">
      <c r="A87" s="280" t="str">
        <f>'User Defined Factors'!A61</f>
        <v>User-defined renewable energy transportation #2</v>
      </c>
      <c r="B87" s="376" t="str">
        <f>'User Defined Factors'!B61</f>
        <v>TBD</v>
      </c>
      <c r="C87" s="268">
        <f t="shared" ca="1" si="87"/>
        <v>0</v>
      </c>
      <c r="D87" s="269" t="str">
        <f t="shared" ca="1" si="88"/>
        <v/>
      </c>
      <c r="E87" s="269" t="str">
        <f t="shared" ca="1" si="89"/>
        <v/>
      </c>
      <c r="F87" s="269" t="str">
        <f t="shared" ca="1" si="90"/>
        <v/>
      </c>
      <c r="G87" s="269" t="str">
        <f t="shared" ca="1" si="91"/>
        <v/>
      </c>
      <c r="H87" s="269" t="str">
        <f t="shared" ca="1" si="92"/>
        <v/>
      </c>
      <c r="I87" s="269" t="str">
        <f t="shared" ca="1" si="93"/>
        <v/>
      </c>
      <c r="J87" s="269" t="str">
        <f t="shared" ca="1" si="94"/>
        <v/>
      </c>
      <c r="K87" s="269" t="str">
        <f t="shared" ca="1" si="95"/>
        <v/>
      </c>
      <c r="L87" s="269" t="str">
        <f t="shared" ca="1" si="96"/>
        <v/>
      </c>
      <c r="M87" s="269" t="str">
        <f t="shared" ca="1" si="97"/>
        <v/>
      </c>
      <c r="N87" s="269" t="str">
        <f t="shared" ca="1" si="98"/>
        <v/>
      </c>
      <c r="O87" s="269" t="str">
        <f t="shared" ca="1" si="99"/>
        <v/>
      </c>
      <c r="P87" s="270" t="str">
        <f t="shared" ca="1" si="100"/>
        <v/>
      </c>
      <c r="Q87" s="362">
        <f t="shared" ca="1" si="86"/>
        <v>0</v>
      </c>
      <c r="R87" s="41">
        <f t="shared" ca="1" si="86"/>
        <v>0</v>
      </c>
      <c r="S87" s="41">
        <f t="shared" ca="1" si="86"/>
        <v>0</v>
      </c>
      <c r="T87" s="41">
        <f t="shared" ca="1" si="86"/>
        <v>0</v>
      </c>
      <c r="U87" s="41">
        <f t="shared" ca="1" si="86"/>
        <v>0</v>
      </c>
      <c r="V87" s="41">
        <f t="shared" ca="1" si="86"/>
        <v>0</v>
      </c>
      <c r="W87" s="264">
        <f ca="1">SUM(Q87:V87)</f>
        <v>0</v>
      </c>
    </row>
    <row r="88" spans="1:23" x14ac:dyDescent="0.25">
      <c r="A88" s="282"/>
      <c r="B88" s="411"/>
      <c r="C88" s="379"/>
      <c r="D88" s="380"/>
      <c r="E88" s="380"/>
      <c r="F88" s="380"/>
      <c r="G88" s="380"/>
      <c r="H88" s="380"/>
      <c r="I88" s="380"/>
      <c r="J88" s="380"/>
      <c r="K88" s="380"/>
      <c r="L88" s="380"/>
      <c r="M88" s="380"/>
      <c r="N88" s="380"/>
      <c r="O88" s="380"/>
      <c r="P88" s="422"/>
      <c r="Q88" s="262"/>
      <c r="R88" s="51"/>
      <c r="S88" s="51"/>
      <c r="T88" s="51"/>
      <c r="U88" s="51"/>
      <c r="V88" s="51"/>
      <c r="W88" s="265"/>
    </row>
    <row r="89" spans="1:23" x14ac:dyDescent="0.25">
      <c r="A89" s="274" t="s">
        <v>52</v>
      </c>
      <c r="B89" s="411"/>
      <c r="C89" s="262"/>
      <c r="D89" s="51"/>
      <c r="E89" s="51"/>
      <c r="F89" s="51"/>
      <c r="G89" s="51"/>
      <c r="H89" s="51"/>
      <c r="I89" s="51"/>
      <c r="J89" s="51"/>
      <c r="K89" s="51"/>
      <c r="L89" s="51"/>
      <c r="M89" s="51"/>
      <c r="N89" s="51"/>
      <c r="O89" s="51"/>
      <c r="P89" s="265"/>
      <c r="Q89" s="262"/>
      <c r="R89" s="51"/>
      <c r="S89" s="51"/>
      <c r="T89" s="51"/>
      <c r="U89" s="51"/>
      <c r="V89" s="51"/>
      <c r="W89" s="265"/>
    </row>
    <row r="90" spans="1:23" ht="15.75" thickBot="1" x14ac:dyDescent="0.3">
      <c r="A90" s="283" t="s">
        <v>342</v>
      </c>
      <c r="B90" s="385"/>
      <c r="C90" s="377"/>
      <c r="D90" s="378"/>
      <c r="E90" s="378"/>
      <c r="F90" s="378"/>
      <c r="G90" s="378"/>
      <c r="H90" s="378"/>
      <c r="I90" s="378"/>
      <c r="J90" s="378"/>
      <c r="K90" s="378"/>
      <c r="L90" s="378"/>
      <c r="M90" s="378"/>
      <c r="N90" s="378"/>
      <c r="O90" s="378"/>
      <c r="P90" s="421"/>
      <c r="Q90" s="262"/>
      <c r="R90" s="51"/>
      <c r="S90" s="51"/>
      <c r="T90" s="51"/>
      <c r="U90" s="51"/>
      <c r="V90" s="51"/>
      <c r="W90" s="265"/>
    </row>
    <row r="91" spans="1:23" x14ac:dyDescent="0.25">
      <c r="A91" s="280" t="s">
        <v>632</v>
      </c>
      <c r="B91" s="385" t="s">
        <v>43</v>
      </c>
      <c r="C91" s="381">
        <f ca="1">IFERROR(INDIRECT(CONCATENATE("'",C$6,"'!",ADDRESS(ROW(A90)+208,6,4))),"")</f>
        <v>0</v>
      </c>
      <c r="D91" s="382" t="str">
        <f t="shared" ref="D91:P91" ca="1" si="101">IFERROR(INDIRECT(CONCATENATE("'",D$6,"'!",ADDRESS(ROW(B90)+208,6,4))),"")</f>
        <v/>
      </c>
      <c r="E91" s="382" t="str">
        <f t="shared" ca="1" si="101"/>
        <v/>
      </c>
      <c r="F91" s="382" t="str">
        <f t="shared" ca="1" si="101"/>
        <v/>
      </c>
      <c r="G91" s="382" t="str">
        <f t="shared" ca="1" si="101"/>
        <v/>
      </c>
      <c r="H91" s="382" t="str">
        <f t="shared" ca="1" si="101"/>
        <v/>
      </c>
      <c r="I91" s="382" t="str">
        <f t="shared" ca="1" si="101"/>
        <v/>
      </c>
      <c r="J91" s="382" t="str">
        <f t="shared" ca="1" si="101"/>
        <v/>
      </c>
      <c r="K91" s="382" t="str">
        <f t="shared" ca="1" si="101"/>
        <v/>
      </c>
      <c r="L91" s="382" t="str">
        <f t="shared" ca="1" si="101"/>
        <v/>
      </c>
      <c r="M91" s="382" t="str">
        <f t="shared" ca="1" si="101"/>
        <v/>
      </c>
      <c r="N91" s="382" t="str">
        <f t="shared" ca="1" si="101"/>
        <v/>
      </c>
      <c r="O91" s="382" t="str">
        <f t="shared" ca="1" si="101"/>
        <v/>
      </c>
      <c r="P91" s="383" t="str">
        <f t="shared" ca="1" si="101"/>
        <v/>
      </c>
      <c r="Q91" s="362">
        <f ca="1">SUMIF($C$4:$P$4,"="&amp;Q$6,$C91:$P91)</f>
        <v>0</v>
      </c>
      <c r="R91" s="41">
        <f t="shared" ref="R91:V108" ca="1" si="102">SUMIF($C$4:$P$4,"="&amp;R$6,$C91:$P91)</f>
        <v>0</v>
      </c>
      <c r="S91" s="41">
        <f t="shared" ca="1" si="102"/>
        <v>0</v>
      </c>
      <c r="T91" s="41">
        <f t="shared" ca="1" si="102"/>
        <v>0</v>
      </c>
      <c r="U91" s="41">
        <f t="shared" ca="1" si="102"/>
        <v>0</v>
      </c>
      <c r="V91" s="41">
        <f t="shared" ca="1" si="102"/>
        <v>0</v>
      </c>
      <c r="W91" s="264">
        <f t="shared" ref="W91" ca="1" si="103">SUM(Q91:V91)</f>
        <v>0</v>
      </c>
    </row>
    <row r="92" spans="1:23" x14ac:dyDescent="0.25">
      <c r="A92" s="280" t="s">
        <v>633</v>
      </c>
      <c r="B92" s="385" t="s">
        <v>43</v>
      </c>
      <c r="C92" s="263">
        <f t="shared" ref="C92:C109" ca="1" si="104">IFERROR(INDIRECT(CONCATENATE("'",C$6,"'!",ADDRESS(ROW(A91)+208,6,4))),"")</f>
        <v>0</v>
      </c>
      <c r="D92" s="41" t="str">
        <f t="shared" ref="D92:D109" ca="1" si="105">IFERROR(INDIRECT(CONCATENATE("'",D$6,"'!",ADDRESS(ROW(B91)+208,6,4))),"")</f>
        <v/>
      </c>
      <c r="E92" s="41" t="str">
        <f t="shared" ref="E92:E109" ca="1" si="106">IFERROR(INDIRECT(CONCATENATE("'",E$6,"'!",ADDRESS(ROW(C91)+208,6,4))),"")</f>
        <v/>
      </c>
      <c r="F92" s="41" t="str">
        <f t="shared" ref="F92:F109" ca="1" si="107">IFERROR(INDIRECT(CONCATENATE("'",F$6,"'!",ADDRESS(ROW(D91)+208,6,4))),"")</f>
        <v/>
      </c>
      <c r="G92" s="41" t="str">
        <f t="shared" ref="G92:G109" ca="1" si="108">IFERROR(INDIRECT(CONCATENATE("'",G$6,"'!",ADDRESS(ROW(E91)+208,6,4))),"")</f>
        <v/>
      </c>
      <c r="H92" s="41" t="str">
        <f t="shared" ref="H92:H109" ca="1" si="109">IFERROR(INDIRECT(CONCATENATE("'",H$6,"'!",ADDRESS(ROW(F91)+208,6,4))),"")</f>
        <v/>
      </c>
      <c r="I92" s="41" t="str">
        <f t="shared" ref="I92:I109" ca="1" si="110">IFERROR(INDIRECT(CONCATENATE("'",I$6,"'!",ADDRESS(ROW(G91)+208,6,4))),"")</f>
        <v/>
      </c>
      <c r="J92" s="41" t="str">
        <f t="shared" ref="J92:J109" ca="1" si="111">IFERROR(INDIRECT(CONCATENATE("'",J$6,"'!",ADDRESS(ROW(H91)+208,6,4))),"")</f>
        <v/>
      </c>
      <c r="K92" s="41" t="str">
        <f t="shared" ref="K92:K109" ca="1" si="112">IFERROR(INDIRECT(CONCATENATE("'",K$6,"'!",ADDRESS(ROW(I91)+208,6,4))),"")</f>
        <v/>
      </c>
      <c r="L92" s="41" t="str">
        <f t="shared" ref="L92:L109" ca="1" si="113">IFERROR(INDIRECT(CONCATENATE("'",L$6,"'!",ADDRESS(ROW(J91)+208,6,4))),"")</f>
        <v/>
      </c>
      <c r="M92" s="41" t="str">
        <f t="shared" ref="M92:M109" ca="1" si="114">IFERROR(INDIRECT(CONCATENATE("'",M$6,"'!",ADDRESS(ROW(K91)+208,6,4))),"")</f>
        <v/>
      </c>
      <c r="N92" s="41" t="str">
        <f t="shared" ref="N92:N109" ca="1" si="115">IFERROR(INDIRECT(CONCATENATE("'",N$6,"'!",ADDRESS(ROW(L91)+208,6,4))),"")</f>
        <v/>
      </c>
      <c r="O92" s="41" t="str">
        <f t="shared" ref="O92:O109" ca="1" si="116">IFERROR(INDIRECT(CONCATENATE("'",O$6,"'!",ADDRESS(ROW(M91)+208,6,4))),"")</f>
        <v/>
      </c>
      <c r="P92" s="264" t="str">
        <f t="shared" ref="P92:P109" ca="1" si="117">IFERROR(INDIRECT(CONCATENATE("'",P$6,"'!",ADDRESS(ROW(N91)+208,6,4))),"")</f>
        <v/>
      </c>
      <c r="Q92" s="362">
        <f t="shared" ref="Q92:V109" ca="1" si="118">SUMIF($C$4:$P$4,"="&amp;Q$6,$C92:$P92)</f>
        <v>0</v>
      </c>
      <c r="R92" s="41">
        <f t="shared" ca="1" si="102"/>
        <v>0</v>
      </c>
      <c r="S92" s="41">
        <f t="shared" ca="1" si="102"/>
        <v>0</v>
      </c>
      <c r="T92" s="41">
        <f t="shared" ca="1" si="102"/>
        <v>0</v>
      </c>
      <c r="U92" s="41">
        <f t="shared" ca="1" si="102"/>
        <v>0</v>
      </c>
      <c r="V92" s="41">
        <f t="shared" ca="1" si="102"/>
        <v>0</v>
      </c>
      <c r="W92" s="264">
        <f t="shared" ref="W92:W109" ca="1" si="119">SUM(Q92:V92)</f>
        <v>0</v>
      </c>
    </row>
    <row r="93" spans="1:23" x14ac:dyDescent="0.25">
      <c r="A93" s="280" t="s">
        <v>634</v>
      </c>
      <c r="B93" s="385" t="s">
        <v>43</v>
      </c>
      <c r="C93" s="263">
        <f t="shared" ca="1" si="104"/>
        <v>0</v>
      </c>
      <c r="D93" s="41" t="str">
        <f t="shared" ca="1" si="105"/>
        <v/>
      </c>
      <c r="E93" s="41" t="str">
        <f t="shared" ca="1" si="106"/>
        <v/>
      </c>
      <c r="F93" s="41" t="str">
        <f t="shared" ca="1" si="107"/>
        <v/>
      </c>
      <c r="G93" s="41" t="str">
        <f t="shared" ca="1" si="108"/>
        <v/>
      </c>
      <c r="H93" s="41" t="str">
        <f t="shared" ca="1" si="109"/>
        <v/>
      </c>
      <c r="I93" s="41" t="str">
        <f t="shared" ca="1" si="110"/>
        <v/>
      </c>
      <c r="J93" s="41" t="str">
        <f t="shared" ca="1" si="111"/>
        <v/>
      </c>
      <c r="K93" s="41" t="str">
        <f t="shared" ca="1" si="112"/>
        <v/>
      </c>
      <c r="L93" s="41" t="str">
        <f t="shared" ca="1" si="113"/>
        <v/>
      </c>
      <c r="M93" s="41" t="str">
        <f t="shared" ca="1" si="114"/>
        <v/>
      </c>
      <c r="N93" s="41" t="str">
        <f t="shared" ca="1" si="115"/>
        <v/>
      </c>
      <c r="O93" s="41" t="str">
        <f t="shared" ca="1" si="116"/>
        <v/>
      </c>
      <c r="P93" s="264" t="str">
        <f t="shared" ca="1" si="117"/>
        <v/>
      </c>
      <c r="Q93" s="362">
        <f t="shared" ca="1" si="118"/>
        <v>0</v>
      </c>
      <c r="R93" s="41">
        <f t="shared" ca="1" si="102"/>
        <v>0</v>
      </c>
      <c r="S93" s="41">
        <f t="shared" ca="1" si="102"/>
        <v>0</v>
      </c>
      <c r="T93" s="41">
        <f t="shared" ca="1" si="102"/>
        <v>0</v>
      </c>
      <c r="U93" s="41">
        <f t="shared" ca="1" si="102"/>
        <v>0</v>
      </c>
      <c r="V93" s="41">
        <f t="shared" ca="1" si="102"/>
        <v>0</v>
      </c>
      <c r="W93" s="264">
        <f t="shared" ca="1" si="119"/>
        <v>0</v>
      </c>
    </row>
    <row r="94" spans="1:23" x14ac:dyDescent="0.25">
      <c r="A94" s="280" t="s">
        <v>635</v>
      </c>
      <c r="B94" s="385" t="s">
        <v>43</v>
      </c>
      <c r="C94" s="263">
        <f t="shared" ca="1" si="104"/>
        <v>0</v>
      </c>
      <c r="D94" s="41" t="str">
        <f t="shared" ca="1" si="105"/>
        <v/>
      </c>
      <c r="E94" s="41" t="str">
        <f t="shared" ca="1" si="106"/>
        <v/>
      </c>
      <c r="F94" s="41" t="str">
        <f t="shared" ca="1" si="107"/>
        <v/>
      </c>
      <c r="G94" s="41" t="str">
        <f t="shared" ca="1" si="108"/>
        <v/>
      </c>
      <c r="H94" s="41" t="str">
        <f t="shared" ca="1" si="109"/>
        <v/>
      </c>
      <c r="I94" s="41" t="str">
        <f t="shared" ca="1" si="110"/>
        <v/>
      </c>
      <c r="J94" s="41" t="str">
        <f t="shared" ca="1" si="111"/>
        <v/>
      </c>
      <c r="K94" s="41" t="str">
        <f t="shared" ca="1" si="112"/>
        <v/>
      </c>
      <c r="L94" s="41" t="str">
        <f t="shared" ca="1" si="113"/>
        <v/>
      </c>
      <c r="M94" s="41" t="str">
        <f t="shared" ca="1" si="114"/>
        <v/>
      </c>
      <c r="N94" s="41" t="str">
        <f t="shared" ca="1" si="115"/>
        <v/>
      </c>
      <c r="O94" s="41" t="str">
        <f t="shared" ca="1" si="116"/>
        <v/>
      </c>
      <c r="P94" s="264" t="str">
        <f t="shared" ca="1" si="117"/>
        <v/>
      </c>
      <c r="Q94" s="362">
        <f t="shared" ca="1" si="118"/>
        <v>0</v>
      </c>
      <c r="R94" s="41">
        <f t="shared" ca="1" si="102"/>
        <v>0</v>
      </c>
      <c r="S94" s="41">
        <f t="shared" ca="1" si="102"/>
        <v>0</v>
      </c>
      <c r="T94" s="41">
        <f t="shared" ca="1" si="102"/>
        <v>0</v>
      </c>
      <c r="U94" s="41">
        <f t="shared" ca="1" si="102"/>
        <v>0</v>
      </c>
      <c r="V94" s="41">
        <f t="shared" ca="1" si="102"/>
        <v>0</v>
      </c>
      <c r="W94" s="264">
        <f t="shared" ca="1" si="119"/>
        <v>0</v>
      </c>
    </row>
    <row r="95" spans="1:23" x14ac:dyDescent="0.25">
      <c r="A95" s="280" t="s">
        <v>636</v>
      </c>
      <c r="B95" s="385" t="s">
        <v>43</v>
      </c>
      <c r="C95" s="263">
        <f t="shared" ca="1" si="104"/>
        <v>0</v>
      </c>
      <c r="D95" s="41" t="str">
        <f t="shared" ca="1" si="105"/>
        <v/>
      </c>
      <c r="E95" s="41" t="str">
        <f t="shared" ca="1" si="106"/>
        <v/>
      </c>
      <c r="F95" s="41" t="str">
        <f t="shared" ca="1" si="107"/>
        <v/>
      </c>
      <c r="G95" s="41" t="str">
        <f t="shared" ca="1" si="108"/>
        <v/>
      </c>
      <c r="H95" s="41" t="str">
        <f t="shared" ca="1" si="109"/>
        <v/>
      </c>
      <c r="I95" s="41" t="str">
        <f t="shared" ca="1" si="110"/>
        <v/>
      </c>
      <c r="J95" s="41" t="str">
        <f t="shared" ca="1" si="111"/>
        <v/>
      </c>
      <c r="K95" s="41" t="str">
        <f t="shared" ca="1" si="112"/>
        <v/>
      </c>
      <c r="L95" s="41" t="str">
        <f t="shared" ca="1" si="113"/>
        <v/>
      </c>
      <c r="M95" s="41" t="str">
        <f t="shared" ca="1" si="114"/>
        <v/>
      </c>
      <c r="N95" s="41" t="str">
        <f t="shared" ca="1" si="115"/>
        <v/>
      </c>
      <c r="O95" s="41" t="str">
        <f t="shared" ca="1" si="116"/>
        <v/>
      </c>
      <c r="P95" s="264" t="str">
        <f t="shared" ca="1" si="117"/>
        <v/>
      </c>
      <c r="Q95" s="362">
        <f t="shared" ca="1" si="118"/>
        <v>0</v>
      </c>
      <c r="R95" s="41">
        <f t="shared" ca="1" si="102"/>
        <v>0</v>
      </c>
      <c r="S95" s="41">
        <f t="shared" ca="1" si="102"/>
        <v>0</v>
      </c>
      <c r="T95" s="41">
        <f t="shared" ca="1" si="102"/>
        <v>0</v>
      </c>
      <c r="U95" s="41">
        <f t="shared" ca="1" si="102"/>
        <v>0</v>
      </c>
      <c r="V95" s="41">
        <f t="shared" ca="1" si="102"/>
        <v>0</v>
      </c>
      <c r="W95" s="264">
        <f t="shared" ca="1" si="119"/>
        <v>0</v>
      </c>
    </row>
    <row r="96" spans="1:23" x14ac:dyDescent="0.25">
      <c r="A96" s="280" t="s">
        <v>637</v>
      </c>
      <c r="B96" s="385" t="s">
        <v>43</v>
      </c>
      <c r="C96" s="263">
        <f t="shared" ca="1" si="104"/>
        <v>0</v>
      </c>
      <c r="D96" s="41" t="str">
        <f t="shared" ca="1" si="105"/>
        <v/>
      </c>
      <c r="E96" s="41" t="str">
        <f t="shared" ca="1" si="106"/>
        <v/>
      </c>
      <c r="F96" s="41" t="str">
        <f t="shared" ca="1" si="107"/>
        <v/>
      </c>
      <c r="G96" s="41" t="str">
        <f t="shared" ca="1" si="108"/>
        <v/>
      </c>
      <c r="H96" s="41" t="str">
        <f t="shared" ca="1" si="109"/>
        <v/>
      </c>
      <c r="I96" s="41" t="str">
        <f t="shared" ca="1" si="110"/>
        <v/>
      </c>
      <c r="J96" s="41" t="str">
        <f t="shared" ca="1" si="111"/>
        <v/>
      </c>
      <c r="K96" s="41" t="str">
        <f t="shared" ca="1" si="112"/>
        <v/>
      </c>
      <c r="L96" s="41" t="str">
        <f t="shared" ca="1" si="113"/>
        <v/>
      </c>
      <c r="M96" s="41" t="str">
        <f t="shared" ca="1" si="114"/>
        <v/>
      </c>
      <c r="N96" s="41" t="str">
        <f t="shared" ca="1" si="115"/>
        <v/>
      </c>
      <c r="O96" s="41" t="str">
        <f t="shared" ca="1" si="116"/>
        <v/>
      </c>
      <c r="P96" s="264" t="str">
        <f t="shared" ca="1" si="117"/>
        <v/>
      </c>
      <c r="Q96" s="362">
        <f t="shared" ca="1" si="118"/>
        <v>0</v>
      </c>
      <c r="R96" s="41">
        <f t="shared" ca="1" si="102"/>
        <v>0</v>
      </c>
      <c r="S96" s="41">
        <f t="shared" ca="1" si="102"/>
        <v>0</v>
      </c>
      <c r="T96" s="41">
        <f t="shared" ca="1" si="102"/>
        <v>0</v>
      </c>
      <c r="U96" s="41">
        <f t="shared" ca="1" si="102"/>
        <v>0</v>
      </c>
      <c r="V96" s="41">
        <f t="shared" ca="1" si="102"/>
        <v>0</v>
      </c>
      <c r="W96" s="264">
        <f t="shared" ca="1" si="119"/>
        <v>0</v>
      </c>
    </row>
    <row r="97" spans="1:23" x14ac:dyDescent="0.25">
      <c r="A97" s="280" t="s">
        <v>638</v>
      </c>
      <c r="B97" s="385" t="s">
        <v>43</v>
      </c>
      <c r="C97" s="263">
        <f t="shared" ca="1" si="104"/>
        <v>0</v>
      </c>
      <c r="D97" s="41" t="str">
        <f t="shared" ca="1" si="105"/>
        <v/>
      </c>
      <c r="E97" s="41" t="str">
        <f t="shared" ca="1" si="106"/>
        <v/>
      </c>
      <c r="F97" s="41" t="str">
        <f t="shared" ca="1" si="107"/>
        <v/>
      </c>
      <c r="G97" s="41" t="str">
        <f t="shared" ca="1" si="108"/>
        <v/>
      </c>
      <c r="H97" s="41" t="str">
        <f t="shared" ca="1" si="109"/>
        <v/>
      </c>
      <c r="I97" s="41" t="str">
        <f t="shared" ca="1" si="110"/>
        <v/>
      </c>
      <c r="J97" s="41" t="str">
        <f t="shared" ca="1" si="111"/>
        <v/>
      </c>
      <c r="K97" s="41" t="str">
        <f t="shared" ca="1" si="112"/>
        <v/>
      </c>
      <c r="L97" s="41" t="str">
        <f t="shared" ca="1" si="113"/>
        <v/>
      </c>
      <c r="M97" s="41" t="str">
        <f t="shared" ca="1" si="114"/>
        <v/>
      </c>
      <c r="N97" s="41" t="str">
        <f t="shared" ca="1" si="115"/>
        <v/>
      </c>
      <c r="O97" s="41" t="str">
        <f t="shared" ca="1" si="116"/>
        <v/>
      </c>
      <c r="P97" s="264" t="str">
        <f t="shared" ca="1" si="117"/>
        <v/>
      </c>
      <c r="Q97" s="362">
        <f t="shared" ca="1" si="118"/>
        <v>0</v>
      </c>
      <c r="R97" s="41">
        <f t="shared" ca="1" si="102"/>
        <v>0</v>
      </c>
      <c r="S97" s="41">
        <f t="shared" ca="1" si="102"/>
        <v>0</v>
      </c>
      <c r="T97" s="41">
        <f t="shared" ca="1" si="102"/>
        <v>0</v>
      </c>
      <c r="U97" s="41">
        <f t="shared" ca="1" si="102"/>
        <v>0</v>
      </c>
      <c r="V97" s="41">
        <f t="shared" ca="1" si="102"/>
        <v>0</v>
      </c>
      <c r="W97" s="264">
        <f t="shared" ca="1" si="119"/>
        <v>0</v>
      </c>
    </row>
    <row r="98" spans="1:23" x14ac:dyDescent="0.25">
      <c r="A98" s="280" t="s">
        <v>32</v>
      </c>
      <c r="B98" s="385" t="s">
        <v>43</v>
      </c>
      <c r="C98" s="263">
        <f t="shared" ca="1" si="104"/>
        <v>0</v>
      </c>
      <c r="D98" s="41" t="str">
        <f t="shared" ca="1" si="105"/>
        <v/>
      </c>
      <c r="E98" s="41" t="str">
        <f t="shared" ca="1" si="106"/>
        <v/>
      </c>
      <c r="F98" s="41" t="str">
        <f t="shared" ca="1" si="107"/>
        <v/>
      </c>
      <c r="G98" s="41" t="str">
        <f t="shared" ca="1" si="108"/>
        <v/>
      </c>
      <c r="H98" s="41" t="str">
        <f t="shared" ca="1" si="109"/>
        <v/>
      </c>
      <c r="I98" s="41" t="str">
        <f t="shared" ca="1" si="110"/>
        <v/>
      </c>
      <c r="J98" s="41" t="str">
        <f t="shared" ca="1" si="111"/>
        <v/>
      </c>
      <c r="K98" s="41" t="str">
        <f t="shared" ca="1" si="112"/>
        <v/>
      </c>
      <c r="L98" s="41" t="str">
        <f t="shared" ca="1" si="113"/>
        <v/>
      </c>
      <c r="M98" s="41" t="str">
        <f t="shared" ca="1" si="114"/>
        <v/>
      </c>
      <c r="N98" s="41" t="str">
        <f t="shared" ca="1" si="115"/>
        <v/>
      </c>
      <c r="O98" s="41" t="str">
        <f t="shared" ca="1" si="116"/>
        <v/>
      </c>
      <c r="P98" s="264" t="str">
        <f t="shared" ca="1" si="117"/>
        <v/>
      </c>
      <c r="Q98" s="362">
        <f t="shared" ca="1" si="118"/>
        <v>0</v>
      </c>
      <c r="R98" s="41">
        <f t="shared" ca="1" si="102"/>
        <v>0</v>
      </c>
      <c r="S98" s="41">
        <f t="shared" ca="1" si="102"/>
        <v>0</v>
      </c>
      <c r="T98" s="41">
        <f t="shared" ca="1" si="102"/>
        <v>0</v>
      </c>
      <c r="U98" s="41">
        <f t="shared" ca="1" si="102"/>
        <v>0</v>
      </c>
      <c r="V98" s="41">
        <f t="shared" ca="1" si="102"/>
        <v>0</v>
      </c>
      <c r="W98" s="264">
        <f t="shared" ca="1" si="119"/>
        <v>0</v>
      </c>
    </row>
    <row r="99" spans="1:23" x14ac:dyDescent="0.25">
      <c r="A99" s="280" t="s">
        <v>8</v>
      </c>
      <c r="B99" s="385" t="s">
        <v>43</v>
      </c>
      <c r="C99" s="263">
        <f t="shared" ca="1" si="104"/>
        <v>0</v>
      </c>
      <c r="D99" s="41" t="str">
        <f t="shared" ca="1" si="105"/>
        <v/>
      </c>
      <c r="E99" s="41" t="str">
        <f t="shared" ca="1" si="106"/>
        <v/>
      </c>
      <c r="F99" s="41" t="str">
        <f t="shared" ca="1" si="107"/>
        <v/>
      </c>
      <c r="G99" s="41" t="str">
        <f t="shared" ca="1" si="108"/>
        <v/>
      </c>
      <c r="H99" s="41" t="str">
        <f t="shared" ca="1" si="109"/>
        <v/>
      </c>
      <c r="I99" s="41" t="str">
        <f t="shared" ca="1" si="110"/>
        <v/>
      </c>
      <c r="J99" s="41" t="str">
        <f t="shared" ca="1" si="111"/>
        <v/>
      </c>
      <c r="K99" s="41" t="str">
        <f t="shared" ca="1" si="112"/>
        <v/>
      </c>
      <c r="L99" s="41" t="str">
        <f t="shared" ca="1" si="113"/>
        <v/>
      </c>
      <c r="M99" s="41" t="str">
        <f t="shared" ca="1" si="114"/>
        <v/>
      </c>
      <c r="N99" s="41" t="str">
        <f t="shared" ca="1" si="115"/>
        <v/>
      </c>
      <c r="O99" s="41" t="str">
        <f t="shared" ca="1" si="116"/>
        <v/>
      </c>
      <c r="P99" s="264" t="str">
        <f t="shared" ca="1" si="117"/>
        <v/>
      </c>
      <c r="Q99" s="362">
        <f t="shared" ca="1" si="118"/>
        <v>0</v>
      </c>
      <c r="R99" s="41">
        <f t="shared" ca="1" si="102"/>
        <v>0</v>
      </c>
      <c r="S99" s="41">
        <f t="shared" ca="1" si="102"/>
        <v>0</v>
      </c>
      <c r="T99" s="41">
        <f t="shared" ca="1" si="102"/>
        <v>0</v>
      </c>
      <c r="U99" s="41">
        <f t="shared" ca="1" si="102"/>
        <v>0</v>
      </c>
      <c r="V99" s="41">
        <f t="shared" ca="1" si="102"/>
        <v>0</v>
      </c>
      <c r="W99" s="264">
        <f t="shared" ca="1" si="119"/>
        <v>0</v>
      </c>
    </row>
    <row r="100" spans="1:23" x14ac:dyDescent="0.25">
      <c r="A100" s="280" t="s">
        <v>44</v>
      </c>
      <c r="B100" s="385" t="s">
        <v>39</v>
      </c>
      <c r="C100" s="263">
        <f t="shared" ca="1" si="104"/>
        <v>0</v>
      </c>
      <c r="D100" s="41" t="str">
        <f t="shared" ca="1" si="105"/>
        <v/>
      </c>
      <c r="E100" s="41" t="str">
        <f t="shared" ca="1" si="106"/>
        <v/>
      </c>
      <c r="F100" s="41" t="str">
        <f t="shared" ca="1" si="107"/>
        <v/>
      </c>
      <c r="G100" s="41" t="str">
        <f t="shared" ca="1" si="108"/>
        <v/>
      </c>
      <c r="H100" s="41" t="str">
        <f t="shared" ca="1" si="109"/>
        <v/>
      </c>
      <c r="I100" s="41" t="str">
        <f t="shared" ca="1" si="110"/>
        <v/>
      </c>
      <c r="J100" s="41" t="str">
        <f t="shared" ca="1" si="111"/>
        <v/>
      </c>
      <c r="K100" s="41" t="str">
        <f t="shared" ca="1" si="112"/>
        <v/>
      </c>
      <c r="L100" s="41" t="str">
        <f t="shared" ca="1" si="113"/>
        <v/>
      </c>
      <c r="M100" s="41" t="str">
        <f t="shared" ca="1" si="114"/>
        <v/>
      </c>
      <c r="N100" s="41" t="str">
        <f t="shared" ca="1" si="115"/>
        <v/>
      </c>
      <c r="O100" s="41" t="str">
        <f t="shared" ca="1" si="116"/>
        <v/>
      </c>
      <c r="P100" s="264" t="str">
        <f t="shared" ca="1" si="117"/>
        <v/>
      </c>
      <c r="Q100" s="362">
        <f t="shared" ca="1" si="118"/>
        <v>0</v>
      </c>
      <c r="R100" s="41">
        <f t="shared" ca="1" si="102"/>
        <v>0</v>
      </c>
      <c r="S100" s="41">
        <f t="shared" ca="1" si="102"/>
        <v>0</v>
      </c>
      <c r="T100" s="41">
        <f t="shared" ca="1" si="102"/>
        <v>0</v>
      </c>
      <c r="U100" s="41">
        <f t="shared" ca="1" si="102"/>
        <v>0</v>
      </c>
      <c r="V100" s="41">
        <f t="shared" ca="1" si="102"/>
        <v>0</v>
      </c>
      <c r="W100" s="264">
        <f t="shared" ca="1" si="119"/>
        <v>0</v>
      </c>
    </row>
    <row r="101" spans="1:23" ht="16.5" customHeight="1" x14ac:dyDescent="0.25">
      <c r="A101" s="280" t="s">
        <v>7</v>
      </c>
      <c r="B101" s="385" t="s">
        <v>43</v>
      </c>
      <c r="C101" s="263">
        <f t="shared" ca="1" si="104"/>
        <v>0</v>
      </c>
      <c r="D101" s="41" t="str">
        <f t="shared" ca="1" si="105"/>
        <v/>
      </c>
      <c r="E101" s="41" t="str">
        <f t="shared" ca="1" si="106"/>
        <v/>
      </c>
      <c r="F101" s="41" t="str">
        <f t="shared" ca="1" si="107"/>
        <v/>
      </c>
      <c r="G101" s="41" t="str">
        <f t="shared" ca="1" si="108"/>
        <v/>
      </c>
      <c r="H101" s="41" t="str">
        <f t="shared" ca="1" si="109"/>
        <v/>
      </c>
      <c r="I101" s="41" t="str">
        <f t="shared" ca="1" si="110"/>
        <v/>
      </c>
      <c r="J101" s="41" t="str">
        <f t="shared" ca="1" si="111"/>
        <v/>
      </c>
      <c r="K101" s="41" t="str">
        <f t="shared" ca="1" si="112"/>
        <v/>
      </c>
      <c r="L101" s="41" t="str">
        <f t="shared" ca="1" si="113"/>
        <v/>
      </c>
      <c r="M101" s="41" t="str">
        <f t="shared" ca="1" si="114"/>
        <v/>
      </c>
      <c r="N101" s="41" t="str">
        <f t="shared" ca="1" si="115"/>
        <v/>
      </c>
      <c r="O101" s="41" t="str">
        <f t="shared" ca="1" si="116"/>
        <v/>
      </c>
      <c r="P101" s="264" t="str">
        <f t="shared" ca="1" si="117"/>
        <v/>
      </c>
      <c r="Q101" s="362">
        <f t="shared" ca="1" si="118"/>
        <v>0</v>
      </c>
      <c r="R101" s="41">
        <f t="shared" ca="1" si="102"/>
        <v>0</v>
      </c>
      <c r="S101" s="41">
        <f t="shared" ca="1" si="102"/>
        <v>0</v>
      </c>
      <c r="T101" s="41">
        <f t="shared" ca="1" si="102"/>
        <v>0</v>
      </c>
      <c r="U101" s="41">
        <f t="shared" ca="1" si="102"/>
        <v>0</v>
      </c>
      <c r="V101" s="41">
        <f t="shared" ca="1" si="102"/>
        <v>0</v>
      </c>
      <c r="W101" s="264">
        <f t="shared" ca="1" si="119"/>
        <v>0</v>
      </c>
    </row>
    <row r="102" spans="1:23" ht="16.5" customHeight="1" x14ac:dyDescent="0.25">
      <c r="A102" s="280" t="s">
        <v>757</v>
      </c>
      <c r="B102" s="385" t="s">
        <v>43</v>
      </c>
      <c r="C102" s="263">
        <f t="shared" ca="1" si="104"/>
        <v>0</v>
      </c>
      <c r="D102" s="41" t="str">
        <f t="shared" ca="1" si="105"/>
        <v/>
      </c>
      <c r="E102" s="41" t="str">
        <f t="shared" ca="1" si="106"/>
        <v/>
      </c>
      <c r="F102" s="41" t="str">
        <f t="shared" ca="1" si="107"/>
        <v/>
      </c>
      <c r="G102" s="41" t="str">
        <f t="shared" ca="1" si="108"/>
        <v/>
      </c>
      <c r="H102" s="41" t="str">
        <f t="shared" ca="1" si="109"/>
        <v/>
      </c>
      <c r="I102" s="41" t="str">
        <f t="shared" ca="1" si="110"/>
        <v/>
      </c>
      <c r="J102" s="41" t="str">
        <f t="shared" ca="1" si="111"/>
        <v/>
      </c>
      <c r="K102" s="41" t="str">
        <f t="shared" ca="1" si="112"/>
        <v/>
      </c>
      <c r="L102" s="41" t="str">
        <f t="shared" ca="1" si="113"/>
        <v/>
      </c>
      <c r="M102" s="41" t="str">
        <f t="shared" ca="1" si="114"/>
        <v/>
      </c>
      <c r="N102" s="41" t="str">
        <f t="shared" ca="1" si="115"/>
        <v/>
      </c>
      <c r="O102" s="41" t="str">
        <f t="shared" ca="1" si="116"/>
        <v/>
      </c>
      <c r="P102" s="264" t="str">
        <f t="shared" ca="1" si="117"/>
        <v/>
      </c>
      <c r="Q102" s="362"/>
      <c r="R102" s="41"/>
      <c r="S102" s="41"/>
      <c r="T102" s="41"/>
      <c r="U102" s="41"/>
      <c r="V102" s="41"/>
      <c r="W102" s="264"/>
    </row>
    <row r="103" spans="1:23" x14ac:dyDescent="0.25">
      <c r="A103" s="280" t="s">
        <v>639</v>
      </c>
      <c r="B103" s="385" t="s">
        <v>651</v>
      </c>
      <c r="C103" s="263">
        <f t="shared" ca="1" si="104"/>
        <v>0</v>
      </c>
      <c r="D103" s="41" t="str">
        <f t="shared" ca="1" si="105"/>
        <v/>
      </c>
      <c r="E103" s="41" t="str">
        <f t="shared" ca="1" si="106"/>
        <v/>
      </c>
      <c r="F103" s="41" t="str">
        <f t="shared" ca="1" si="107"/>
        <v/>
      </c>
      <c r="G103" s="41" t="str">
        <f t="shared" ca="1" si="108"/>
        <v/>
      </c>
      <c r="H103" s="41" t="str">
        <f t="shared" ca="1" si="109"/>
        <v/>
      </c>
      <c r="I103" s="41" t="str">
        <f t="shared" ca="1" si="110"/>
        <v/>
      </c>
      <c r="J103" s="41" t="str">
        <f t="shared" ca="1" si="111"/>
        <v/>
      </c>
      <c r="K103" s="41" t="str">
        <f t="shared" ca="1" si="112"/>
        <v/>
      </c>
      <c r="L103" s="41" t="str">
        <f t="shared" ca="1" si="113"/>
        <v/>
      </c>
      <c r="M103" s="41" t="str">
        <f t="shared" ca="1" si="114"/>
        <v/>
      </c>
      <c r="N103" s="41" t="str">
        <f t="shared" ca="1" si="115"/>
        <v/>
      </c>
      <c r="O103" s="41" t="str">
        <f t="shared" ca="1" si="116"/>
        <v/>
      </c>
      <c r="P103" s="264" t="str">
        <f t="shared" ca="1" si="117"/>
        <v/>
      </c>
      <c r="Q103" s="362">
        <f t="shared" ca="1" si="118"/>
        <v>0</v>
      </c>
      <c r="R103" s="41">
        <f t="shared" ca="1" si="102"/>
        <v>0</v>
      </c>
      <c r="S103" s="41">
        <f t="shared" ca="1" si="102"/>
        <v>0</v>
      </c>
      <c r="T103" s="41">
        <f t="shared" ca="1" si="102"/>
        <v>0</v>
      </c>
      <c r="U103" s="41">
        <f t="shared" ca="1" si="102"/>
        <v>0</v>
      </c>
      <c r="V103" s="41">
        <f t="shared" ca="1" si="102"/>
        <v>0</v>
      </c>
      <c r="W103" s="264">
        <f t="shared" ca="1" si="119"/>
        <v>0</v>
      </c>
    </row>
    <row r="104" spans="1:23" x14ac:dyDescent="0.25">
      <c r="A104" s="280" t="s">
        <v>640</v>
      </c>
      <c r="B104" s="385" t="s">
        <v>43</v>
      </c>
      <c r="C104" s="263">
        <f t="shared" ca="1" si="104"/>
        <v>0</v>
      </c>
      <c r="D104" s="41" t="str">
        <f t="shared" ca="1" si="105"/>
        <v/>
      </c>
      <c r="E104" s="41" t="str">
        <f t="shared" ca="1" si="106"/>
        <v/>
      </c>
      <c r="F104" s="41" t="str">
        <f t="shared" ca="1" si="107"/>
        <v/>
      </c>
      <c r="G104" s="41" t="str">
        <f t="shared" ca="1" si="108"/>
        <v/>
      </c>
      <c r="H104" s="41" t="str">
        <f t="shared" ca="1" si="109"/>
        <v/>
      </c>
      <c r="I104" s="41" t="str">
        <f t="shared" ca="1" si="110"/>
        <v/>
      </c>
      <c r="J104" s="41" t="str">
        <f t="shared" ca="1" si="111"/>
        <v/>
      </c>
      <c r="K104" s="41" t="str">
        <f t="shared" ca="1" si="112"/>
        <v/>
      </c>
      <c r="L104" s="41" t="str">
        <f t="shared" ca="1" si="113"/>
        <v/>
      </c>
      <c r="M104" s="41" t="str">
        <f t="shared" ca="1" si="114"/>
        <v/>
      </c>
      <c r="N104" s="41" t="str">
        <f t="shared" ca="1" si="115"/>
        <v/>
      </c>
      <c r="O104" s="41" t="str">
        <f t="shared" ca="1" si="116"/>
        <v/>
      </c>
      <c r="P104" s="264" t="str">
        <f t="shared" ca="1" si="117"/>
        <v/>
      </c>
      <c r="Q104" s="362">
        <f t="shared" ca="1" si="118"/>
        <v>0</v>
      </c>
      <c r="R104" s="41">
        <f t="shared" ca="1" si="102"/>
        <v>0</v>
      </c>
      <c r="S104" s="41">
        <f t="shared" ca="1" si="102"/>
        <v>0</v>
      </c>
      <c r="T104" s="41">
        <f t="shared" ca="1" si="102"/>
        <v>0</v>
      </c>
      <c r="U104" s="41">
        <f t="shared" ca="1" si="102"/>
        <v>0</v>
      </c>
      <c r="V104" s="41">
        <f t="shared" ca="1" si="102"/>
        <v>0</v>
      </c>
      <c r="W104" s="264">
        <f t="shared" ca="1" si="119"/>
        <v>0</v>
      </c>
    </row>
    <row r="105" spans="1:23" x14ac:dyDescent="0.25">
      <c r="A105" s="280" t="s">
        <v>641</v>
      </c>
      <c r="B105" s="385" t="s">
        <v>43</v>
      </c>
      <c r="C105" s="263">
        <f t="shared" ca="1" si="104"/>
        <v>0</v>
      </c>
      <c r="D105" s="41" t="str">
        <f t="shared" ca="1" si="105"/>
        <v/>
      </c>
      <c r="E105" s="41" t="str">
        <f t="shared" ca="1" si="106"/>
        <v/>
      </c>
      <c r="F105" s="41" t="str">
        <f t="shared" ca="1" si="107"/>
        <v/>
      </c>
      <c r="G105" s="41" t="str">
        <f t="shared" ca="1" si="108"/>
        <v/>
      </c>
      <c r="H105" s="41" t="str">
        <f t="shared" ca="1" si="109"/>
        <v/>
      </c>
      <c r="I105" s="41" t="str">
        <f t="shared" ca="1" si="110"/>
        <v/>
      </c>
      <c r="J105" s="41" t="str">
        <f t="shared" ca="1" si="111"/>
        <v/>
      </c>
      <c r="K105" s="41" t="str">
        <f t="shared" ca="1" si="112"/>
        <v/>
      </c>
      <c r="L105" s="41" t="str">
        <f t="shared" ca="1" si="113"/>
        <v/>
      </c>
      <c r="M105" s="41" t="str">
        <f t="shared" ca="1" si="114"/>
        <v/>
      </c>
      <c r="N105" s="41" t="str">
        <f t="shared" ca="1" si="115"/>
        <v/>
      </c>
      <c r="O105" s="41" t="str">
        <f t="shared" ca="1" si="116"/>
        <v/>
      </c>
      <c r="P105" s="264" t="str">
        <f t="shared" ca="1" si="117"/>
        <v/>
      </c>
      <c r="Q105" s="362">
        <f t="shared" ca="1" si="118"/>
        <v>0</v>
      </c>
      <c r="R105" s="41">
        <f t="shared" ca="1" si="102"/>
        <v>0</v>
      </c>
      <c r="S105" s="41">
        <f t="shared" ca="1" si="102"/>
        <v>0</v>
      </c>
      <c r="T105" s="41">
        <f t="shared" ca="1" si="102"/>
        <v>0</v>
      </c>
      <c r="U105" s="41">
        <f t="shared" ca="1" si="102"/>
        <v>0</v>
      </c>
      <c r="V105" s="41">
        <f t="shared" ca="1" si="102"/>
        <v>0</v>
      </c>
      <c r="W105" s="264">
        <f t="shared" ca="1" si="119"/>
        <v>0</v>
      </c>
    </row>
    <row r="106" spans="1:23" x14ac:dyDescent="0.25">
      <c r="A106" s="280" t="s">
        <v>650</v>
      </c>
      <c r="B106" s="385" t="s">
        <v>43</v>
      </c>
      <c r="C106" s="263">
        <f t="shared" ca="1" si="104"/>
        <v>0</v>
      </c>
      <c r="D106" s="41" t="str">
        <f t="shared" ca="1" si="105"/>
        <v/>
      </c>
      <c r="E106" s="41" t="str">
        <f t="shared" ca="1" si="106"/>
        <v/>
      </c>
      <c r="F106" s="41" t="str">
        <f t="shared" ca="1" si="107"/>
        <v/>
      </c>
      <c r="G106" s="41" t="str">
        <f t="shared" ca="1" si="108"/>
        <v/>
      </c>
      <c r="H106" s="41" t="str">
        <f t="shared" ca="1" si="109"/>
        <v/>
      </c>
      <c r="I106" s="41" t="str">
        <f t="shared" ca="1" si="110"/>
        <v/>
      </c>
      <c r="J106" s="41" t="str">
        <f t="shared" ca="1" si="111"/>
        <v/>
      </c>
      <c r="K106" s="41" t="str">
        <f t="shared" ca="1" si="112"/>
        <v/>
      </c>
      <c r="L106" s="41" t="str">
        <f t="shared" ca="1" si="113"/>
        <v/>
      </c>
      <c r="M106" s="41" t="str">
        <f t="shared" ca="1" si="114"/>
        <v/>
      </c>
      <c r="N106" s="41" t="str">
        <f t="shared" ca="1" si="115"/>
        <v/>
      </c>
      <c r="O106" s="41" t="str">
        <f t="shared" ca="1" si="116"/>
        <v/>
      </c>
      <c r="P106" s="264" t="str">
        <f t="shared" ca="1" si="117"/>
        <v/>
      </c>
      <c r="Q106" s="362">
        <f t="shared" ca="1" si="118"/>
        <v>0</v>
      </c>
      <c r="R106" s="41">
        <f t="shared" ca="1" si="102"/>
        <v>0</v>
      </c>
      <c r="S106" s="41">
        <f t="shared" ca="1" si="102"/>
        <v>0</v>
      </c>
      <c r="T106" s="41">
        <f t="shared" ca="1" si="102"/>
        <v>0</v>
      </c>
      <c r="U106" s="41">
        <f t="shared" ca="1" si="102"/>
        <v>0</v>
      </c>
      <c r="V106" s="41">
        <f t="shared" ca="1" si="102"/>
        <v>0</v>
      </c>
      <c r="W106" s="264">
        <f t="shared" ca="1" si="119"/>
        <v>0</v>
      </c>
    </row>
    <row r="107" spans="1:23" x14ac:dyDescent="0.25">
      <c r="A107" s="280" t="s">
        <v>9</v>
      </c>
      <c r="B107" s="385" t="s">
        <v>43</v>
      </c>
      <c r="C107" s="263">
        <f t="shared" ca="1" si="104"/>
        <v>0</v>
      </c>
      <c r="D107" s="41" t="str">
        <f t="shared" ca="1" si="105"/>
        <v/>
      </c>
      <c r="E107" s="41" t="str">
        <f t="shared" ca="1" si="106"/>
        <v/>
      </c>
      <c r="F107" s="41" t="str">
        <f t="shared" ca="1" si="107"/>
        <v/>
      </c>
      <c r="G107" s="41" t="str">
        <f t="shared" ca="1" si="108"/>
        <v/>
      </c>
      <c r="H107" s="41" t="str">
        <f t="shared" ca="1" si="109"/>
        <v/>
      </c>
      <c r="I107" s="41" t="str">
        <f t="shared" ca="1" si="110"/>
        <v/>
      </c>
      <c r="J107" s="41" t="str">
        <f t="shared" ca="1" si="111"/>
        <v/>
      </c>
      <c r="K107" s="41" t="str">
        <f t="shared" ca="1" si="112"/>
        <v/>
      </c>
      <c r="L107" s="41" t="str">
        <f t="shared" ca="1" si="113"/>
        <v/>
      </c>
      <c r="M107" s="41" t="str">
        <f t="shared" ca="1" si="114"/>
        <v/>
      </c>
      <c r="N107" s="41" t="str">
        <f t="shared" ca="1" si="115"/>
        <v/>
      </c>
      <c r="O107" s="41" t="str">
        <f t="shared" ca="1" si="116"/>
        <v/>
      </c>
      <c r="P107" s="264" t="str">
        <f t="shared" ca="1" si="117"/>
        <v/>
      </c>
      <c r="Q107" s="362">
        <f t="shared" ca="1" si="118"/>
        <v>0</v>
      </c>
      <c r="R107" s="41">
        <f t="shared" ca="1" si="102"/>
        <v>0</v>
      </c>
      <c r="S107" s="41">
        <f t="shared" ca="1" si="102"/>
        <v>0</v>
      </c>
      <c r="T107" s="41">
        <f t="shared" ca="1" si="102"/>
        <v>0</v>
      </c>
      <c r="U107" s="41">
        <f t="shared" ca="1" si="102"/>
        <v>0</v>
      </c>
      <c r="V107" s="41">
        <f t="shared" ca="1" si="102"/>
        <v>0</v>
      </c>
      <c r="W107" s="264">
        <f t="shared" ca="1" si="119"/>
        <v>0</v>
      </c>
    </row>
    <row r="108" spans="1:23" x14ac:dyDescent="0.25">
      <c r="A108" s="280" t="s">
        <v>45</v>
      </c>
      <c r="B108" s="385" t="s">
        <v>43</v>
      </c>
      <c r="C108" s="263">
        <f t="shared" ca="1" si="104"/>
        <v>0</v>
      </c>
      <c r="D108" s="41" t="str">
        <f t="shared" ca="1" si="105"/>
        <v/>
      </c>
      <c r="E108" s="41" t="str">
        <f t="shared" ca="1" si="106"/>
        <v/>
      </c>
      <c r="F108" s="41" t="str">
        <f t="shared" ca="1" si="107"/>
        <v/>
      </c>
      <c r="G108" s="41" t="str">
        <f t="shared" ca="1" si="108"/>
        <v/>
      </c>
      <c r="H108" s="41" t="str">
        <f t="shared" ca="1" si="109"/>
        <v/>
      </c>
      <c r="I108" s="41" t="str">
        <f t="shared" ca="1" si="110"/>
        <v/>
      </c>
      <c r="J108" s="41" t="str">
        <f t="shared" ca="1" si="111"/>
        <v/>
      </c>
      <c r="K108" s="41" t="str">
        <f t="shared" ca="1" si="112"/>
        <v/>
      </c>
      <c r="L108" s="41" t="str">
        <f t="shared" ca="1" si="113"/>
        <v/>
      </c>
      <c r="M108" s="41" t="str">
        <f t="shared" ca="1" si="114"/>
        <v/>
      </c>
      <c r="N108" s="41" t="str">
        <f t="shared" ca="1" si="115"/>
        <v/>
      </c>
      <c r="O108" s="41" t="str">
        <f t="shared" ca="1" si="116"/>
        <v/>
      </c>
      <c r="P108" s="264" t="str">
        <f t="shared" ca="1" si="117"/>
        <v/>
      </c>
      <c r="Q108" s="362">
        <f t="shared" ca="1" si="118"/>
        <v>0</v>
      </c>
      <c r="R108" s="41">
        <f t="shared" ca="1" si="102"/>
        <v>0</v>
      </c>
      <c r="S108" s="41">
        <f t="shared" ca="1" si="102"/>
        <v>0</v>
      </c>
      <c r="T108" s="41">
        <f t="shared" ca="1" si="102"/>
        <v>0</v>
      </c>
      <c r="U108" s="41">
        <f t="shared" ca="1" si="102"/>
        <v>0</v>
      </c>
      <c r="V108" s="41">
        <f t="shared" ca="1" si="102"/>
        <v>0</v>
      </c>
      <c r="W108" s="264">
        <f t="shared" ca="1" si="119"/>
        <v>0</v>
      </c>
    </row>
    <row r="109" spans="1:23" ht="15.75" thickBot="1" x14ac:dyDescent="0.3">
      <c r="A109" s="280" t="s">
        <v>46</v>
      </c>
      <c r="B109" s="385" t="s">
        <v>43</v>
      </c>
      <c r="C109" s="268">
        <f t="shared" ca="1" si="104"/>
        <v>0</v>
      </c>
      <c r="D109" s="269" t="str">
        <f t="shared" ca="1" si="105"/>
        <v/>
      </c>
      <c r="E109" s="269" t="str">
        <f t="shared" ca="1" si="106"/>
        <v/>
      </c>
      <c r="F109" s="269" t="str">
        <f t="shared" ca="1" si="107"/>
        <v/>
      </c>
      <c r="G109" s="269" t="str">
        <f t="shared" ca="1" si="108"/>
        <v/>
      </c>
      <c r="H109" s="269" t="str">
        <f t="shared" ca="1" si="109"/>
        <v/>
      </c>
      <c r="I109" s="269" t="str">
        <f t="shared" ca="1" si="110"/>
        <v/>
      </c>
      <c r="J109" s="269" t="str">
        <f t="shared" ca="1" si="111"/>
        <v/>
      </c>
      <c r="K109" s="269" t="str">
        <f t="shared" ca="1" si="112"/>
        <v/>
      </c>
      <c r="L109" s="269" t="str">
        <f t="shared" ca="1" si="113"/>
        <v/>
      </c>
      <c r="M109" s="269" t="str">
        <f t="shared" ca="1" si="114"/>
        <v/>
      </c>
      <c r="N109" s="269" t="str">
        <f t="shared" ca="1" si="115"/>
        <v/>
      </c>
      <c r="O109" s="269" t="str">
        <f t="shared" ca="1" si="116"/>
        <v/>
      </c>
      <c r="P109" s="270" t="str">
        <f t="shared" ca="1" si="117"/>
        <v/>
      </c>
      <c r="Q109" s="362">
        <f t="shared" ca="1" si="118"/>
        <v>0</v>
      </c>
      <c r="R109" s="41">
        <f t="shared" ca="1" si="118"/>
        <v>0</v>
      </c>
      <c r="S109" s="41">
        <f t="shared" ca="1" si="118"/>
        <v>0</v>
      </c>
      <c r="T109" s="41">
        <f t="shared" ca="1" si="118"/>
        <v>0</v>
      </c>
      <c r="U109" s="41">
        <f t="shared" ca="1" si="118"/>
        <v>0</v>
      </c>
      <c r="V109" s="41">
        <f t="shared" ca="1" si="118"/>
        <v>0</v>
      </c>
      <c r="W109" s="264">
        <f t="shared" ca="1" si="119"/>
        <v>0</v>
      </c>
    </row>
    <row r="110" spans="1:23" ht="15.75" customHeight="1" x14ac:dyDescent="0.25">
      <c r="A110" s="280"/>
      <c r="B110" s="385"/>
      <c r="C110" s="379"/>
      <c r="D110" s="380"/>
      <c r="E110" s="380"/>
      <c r="F110" s="380"/>
      <c r="G110" s="380"/>
      <c r="H110" s="380"/>
      <c r="I110" s="380"/>
      <c r="J110" s="380"/>
      <c r="K110" s="380"/>
      <c r="L110" s="380"/>
      <c r="M110" s="380"/>
      <c r="N110" s="380"/>
      <c r="O110" s="380"/>
      <c r="P110" s="422"/>
      <c r="Q110" s="262"/>
      <c r="R110" s="51"/>
      <c r="S110" s="51"/>
      <c r="T110" s="51"/>
      <c r="U110" s="51"/>
      <c r="V110" s="51"/>
      <c r="W110" s="265"/>
    </row>
    <row r="111" spans="1:23" ht="15.75" thickBot="1" x14ac:dyDescent="0.3">
      <c r="A111" s="281" t="s">
        <v>343</v>
      </c>
      <c r="B111" s="385"/>
      <c r="C111" s="377"/>
      <c r="D111" s="378"/>
      <c r="E111" s="378"/>
      <c r="F111" s="378"/>
      <c r="G111" s="378"/>
      <c r="H111" s="378"/>
      <c r="I111" s="378"/>
      <c r="J111" s="378"/>
      <c r="K111" s="378"/>
      <c r="L111" s="378"/>
      <c r="M111" s="378"/>
      <c r="N111" s="378"/>
      <c r="O111" s="378"/>
      <c r="P111" s="421"/>
      <c r="Q111" s="262"/>
      <c r="R111" s="51"/>
      <c r="S111" s="51"/>
      <c r="T111" s="51"/>
      <c r="U111" s="51"/>
      <c r="V111" s="51"/>
      <c r="W111" s="265"/>
    </row>
    <row r="112" spans="1:23" x14ac:dyDescent="0.25">
      <c r="A112" s="280" t="s">
        <v>47</v>
      </c>
      <c r="B112" s="385" t="s">
        <v>3</v>
      </c>
      <c r="C112" s="381">
        <f ca="1">IFERROR(INDIRECT(CONCATENATE("'",C$6,"'!",ADDRESS(ROW(A111)+208,6,4))),"")</f>
        <v>0</v>
      </c>
      <c r="D112" s="382" t="str">
        <f t="shared" ref="D112:P112" ca="1" si="120">IFERROR(INDIRECT(CONCATENATE("'",D$6,"'!",ADDRESS(ROW(B111)+208,6,4))),"")</f>
        <v/>
      </c>
      <c r="E112" s="382" t="str">
        <f t="shared" ca="1" si="120"/>
        <v/>
      </c>
      <c r="F112" s="382" t="str">
        <f t="shared" ca="1" si="120"/>
        <v/>
      </c>
      <c r="G112" s="382" t="str">
        <f t="shared" ca="1" si="120"/>
        <v/>
      </c>
      <c r="H112" s="382" t="str">
        <f t="shared" ca="1" si="120"/>
        <v/>
      </c>
      <c r="I112" s="382" t="str">
        <f t="shared" ca="1" si="120"/>
        <v/>
      </c>
      <c r="J112" s="382" t="str">
        <f t="shared" ca="1" si="120"/>
        <v/>
      </c>
      <c r="K112" s="382" t="str">
        <f t="shared" ca="1" si="120"/>
        <v/>
      </c>
      <c r="L112" s="382" t="str">
        <f t="shared" ca="1" si="120"/>
        <v/>
      </c>
      <c r="M112" s="382" t="str">
        <f t="shared" ca="1" si="120"/>
        <v/>
      </c>
      <c r="N112" s="382" t="str">
        <f t="shared" ca="1" si="120"/>
        <v/>
      </c>
      <c r="O112" s="382" t="str">
        <f t="shared" ca="1" si="120"/>
        <v/>
      </c>
      <c r="P112" s="383" t="str">
        <f t="shared" ca="1" si="120"/>
        <v/>
      </c>
      <c r="Q112" s="362">
        <f t="shared" ref="Q112:V150" ca="1" si="121">SUMIF($C$4:$P$4,"="&amp;Q$6,$C112:$P112)</f>
        <v>0</v>
      </c>
      <c r="R112" s="41">
        <f t="shared" ca="1" si="121"/>
        <v>0</v>
      </c>
      <c r="S112" s="41">
        <f t="shared" ca="1" si="121"/>
        <v>0</v>
      </c>
      <c r="T112" s="41">
        <f t="shared" ca="1" si="121"/>
        <v>0</v>
      </c>
      <c r="U112" s="41">
        <f t="shared" ca="1" si="121"/>
        <v>0</v>
      </c>
      <c r="V112" s="41">
        <f t="shared" ref="V112:V150" ca="1" si="122">SUMIF($C$4:$P$4,"="&amp;V$6,$C112:$P112)</f>
        <v>0</v>
      </c>
      <c r="W112" s="264">
        <f ca="1">SUM(Q112:V112)</f>
        <v>0</v>
      </c>
    </row>
    <row r="113" spans="1:23" x14ac:dyDescent="0.25">
      <c r="A113" s="280" t="s">
        <v>12</v>
      </c>
      <c r="B113" s="385" t="s">
        <v>3</v>
      </c>
      <c r="C113" s="263">
        <f t="shared" ref="C113:C123" ca="1" si="123">IFERROR(INDIRECT(CONCATENATE("'",C$6,"'!",ADDRESS(ROW(A112)+208,6,4))),"")</f>
        <v>0</v>
      </c>
      <c r="D113" s="41" t="str">
        <f t="shared" ref="D113:D123" ca="1" si="124">IFERROR(INDIRECT(CONCATENATE("'",D$6,"'!",ADDRESS(ROW(B112)+208,6,4))),"")</f>
        <v/>
      </c>
      <c r="E113" s="41" t="str">
        <f t="shared" ref="E113:E123" ca="1" si="125">IFERROR(INDIRECT(CONCATENATE("'",E$6,"'!",ADDRESS(ROW(C112)+208,6,4))),"")</f>
        <v/>
      </c>
      <c r="F113" s="41" t="str">
        <f t="shared" ref="F113:F123" ca="1" si="126">IFERROR(INDIRECT(CONCATENATE("'",F$6,"'!",ADDRESS(ROW(D112)+208,6,4))),"")</f>
        <v/>
      </c>
      <c r="G113" s="41" t="str">
        <f t="shared" ref="G113:G123" ca="1" si="127">IFERROR(INDIRECT(CONCATENATE("'",G$6,"'!",ADDRESS(ROW(E112)+208,6,4))),"")</f>
        <v/>
      </c>
      <c r="H113" s="41" t="str">
        <f t="shared" ref="H113:H123" ca="1" si="128">IFERROR(INDIRECT(CONCATENATE("'",H$6,"'!",ADDRESS(ROW(F112)+208,6,4))),"")</f>
        <v/>
      </c>
      <c r="I113" s="41" t="str">
        <f t="shared" ref="I113:I123" ca="1" si="129">IFERROR(INDIRECT(CONCATENATE("'",I$6,"'!",ADDRESS(ROW(G112)+208,6,4))),"")</f>
        <v/>
      </c>
      <c r="J113" s="41" t="str">
        <f t="shared" ref="J113:J123" ca="1" si="130">IFERROR(INDIRECT(CONCATENATE("'",J$6,"'!",ADDRESS(ROW(H112)+208,6,4))),"")</f>
        <v/>
      </c>
      <c r="K113" s="41" t="str">
        <f t="shared" ref="K113:K123" ca="1" si="131">IFERROR(INDIRECT(CONCATENATE("'",K$6,"'!",ADDRESS(ROW(I112)+208,6,4))),"")</f>
        <v/>
      </c>
      <c r="L113" s="41" t="str">
        <f t="shared" ref="L113:L123" ca="1" si="132">IFERROR(INDIRECT(CONCATENATE("'",L$6,"'!",ADDRESS(ROW(J112)+208,6,4))),"")</f>
        <v/>
      </c>
      <c r="M113" s="41" t="str">
        <f t="shared" ref="M113:M123" ca="1" si="133">IFERROR(INDIRECT(CONCATENATE("'",M$6,"'!",ADDRESS(ROW(K112)+208,6,4))),"")</f>
        <v/>
      </c>
      <c r="N113" s="41" t="str">
        <f t="shared" ref="N113:N123" ca="1" si="134">IFERROR(INDIRECT(CONCATENATE("'",N$6,"'!",ADDRESS(ROW(L112)+208,6,4))),"")</f>
        <v/>
      </c>
      <c r="O113" s="41" t="str">
        <f t="shared" ref="O113:O123" ca="1" si="135">IFERROR(INDIRECT(CONCATENATE("'",O$6,"'!",ADDRESS(ROW(M112)+208,6,4))),"")</f>
        <v/>
      </c>
      <c r="P113" s="264" t="str">
        <f t="shared" ref="P113:P123" ca="1" si="136">IFERROR(INDIRECT(CONCATENATE("'",P$6,"'!",ADDRESS(ROW(N112)+208,6,4))),"")</f>
        <v/>
      </c>
      <c r="Q113" s="362">
        <f t="shared" ca="1" si="121"/>
        <v>0</v>
      </c>
      <c r="R113" s="41">
        <f t="shared" ca="1" si="121"/>
        <v>0</v>
      </c>
      <c r="S113" s="41">
        <f t="shared" ca="1" si="121"/>
        <v>0</v>
      </c>
      <c r="T113" s="41">
        <f t="shared" ca="1" si="121"/>
        <v>0</v>
      </c>
      <c r="U113" s="41">
        <f t="shared" ca="1" si="121"/>
        <v>0</v>
      </c>
      <c r="V113" s="41">
        <f t="shared" ca="1" si="122"/>
        <v>0</v>
      </c>
      <c r="W113" s="264">
        <f t="shared" ref="W113:W123" ca="1" si="137">SUM(Q113:V113)</f>
        <v>0</v>
      </c>
    </row>
    <row r="114" spans="1:23" x14ac:dyDescent="0.25">
      <c r="A114" s="280" t="s">
        <v>642</v>
      </c>
      <c r="B114" s="385" t="s">
        <v>3</v>
      </c>
      <c r="C114" s="263">
        <f t="shared" ca="1" si="123"/>
        <v>0</v>
      </c>
      <c r="D114" s="41" t="str">
        <f t="shared" ca="1" si="124"/>
        <v/>
      </c>
      <c r="E114" s="41" t="str">
        <f t="shared" ca="1" si="125"/>
        <v/>
      </c>
      <c r="F114" s="41" t="str">
        <f t="shared" ca="1" si="126"/>
        <v/>
      </c>
      <c r="G114" s="41" t="str">
        <f t="shared" ca="1" si="127"/>
        <v/>
      </c>
      <c r="H114" s="41" t="str">
        <f t="shared" ca="1" si="128"/>
        <v/>
      </c>
      <c r="I114" s="41" t="str">
        <f t="shared" ca="1" si="129"/>
        <v/>
      </c>
      <c r="J114" s="41" t="str">
        <f t="shared" ca="1" si="130"/>
        <v/>
      </c>
      <c r="K114" s="41" t="str">
        <f t="shared" ca="1" si="131"/>
        <v/>
      </c>
      <c r="L114" s="41" t="str">
        <f t="shared" ca="1" si="132"/>
        <v/>
      </c>
      <c r="M114" s="41" t="str">
        <f t="shared" ca="1" si="133"/>
        <v/>
      </c>
      <c r="N114" s="41" t="str">
        <f t="shared" ca="1" si="134"/>
        <v/>
      </c>
      <c r="O114" s="41" t="str">
        <f t="shared" ca="1" si="135"/>
        <v/>
      </c>
      <c r="P114" s="264" t="str">
        <f t="shared" ca="1" si="136"/>
        <v/>
      </c>
      <c r="Q114" s="362">
        <f t="shared" ca="1" si="121"/>
        <v>0</v>
      </c>
      <c r="R114" s="41">
        <f t="shared" ca="1" si="121"/>
        <v>0</v>
      </c>
      <c r="S114" s="41">
        <f t="shared" ca="1" si="121"/>
        <v>0</v>
      </c>
      <c r="T114" s="41">
        <f t="shared" ca="1" si="121"/>
        <v>0</v>
      </c>
      <c r="U114" s="41">
        <f t="shared" ca="1" si="121"/>
        <v>0</v>
      </c>
      <c r="V114" s="41">
        <f t="shared" ca="1" si="122"/>
        <v>0</v>
      </c>
      <c r="W114" s="264">
        <f t="shared" ca="1" si="137"/>
        <v>0</v>
      </c>
    </row>
    <row r="115" spans="1:23" x14ac:dyDescent="0.25">
      <c r="A115" s="280" t="s">
        <v>643</v>
      </c>
      <c r="B115" s="385" t="s">
        <v>3</v>
      </c>
      <c r="C115" s="263">
        <f t="shared" ca="1" si="123"/>
        <v>0</v>
      </c>
      <c r="D115" s="41" t="str">
        <f t="shared" ca="1" si="124"/>
        <v/>
      </c>
      <c r="E115" s="41" t="str">
        <f t="shared" ca="1" si="125"/>
        <v/>
      </c>
      <c r="F115" s="41" t="str">
        <f t="shared" ca="1" si="126"/>
        <v/>
      </c>
      <c r="G115" s="41" t="str">
        <f t="shared" ca="1" si="127"/>
        <v/>
      </c>
      <c r="H115" s="41" t="str">
        <f t="shared" ca="1" si="128"/>
        <v/>
      </c>
      <c r="I115" s="41" t="str">
        <f t="shared" ca="1" si="129"/>
        <v/>
      </c>
      <c r="J115" s="41" t="str">
        <f t="shared" ca="1" si="130"/>
        <v/>
      </c>
      <c r="K115" s="41" t="str">
        <f t="shared" ca="1" si="131"/>
        <v/>
      </c>
      <c r="L115" s="41" t="str">
        <f t="shared" ca="1" si="132"/>
        <v/>
      </c>
      <c r="M115" s="41" t="str">
        <f t="shared" ca="1" si="133"/>
        <v/>
      </c>
      <c r="N115" s="41" t="str">
        <f t="shared" ca="1" si="134"/>
        <v/>
      </c>
      <c r="O115" s="41" t="str">
        <f t="shared" ca="1" si="135"/>
        <v/>
      </c>
      <c r="P115" s="264" t="str">
        <f t="shared" ca="1" si="136"/>
        <v/>
      </c>
      <c r="Q115" s="362">
        <f t="shared" ca="1" si="121"/>
        <v>0</v>
      </c>
      <c r="R115" s="41">
        <f t="shared" ca="1" si="121"/>
        <v>0</v>
      </c>
      <c r="S115" s="41">
        <f t="shared" ca="1" si="121"/>
        <v>0</v>
      </c>
      <c r="T115" s="41">
        <f t="shared" ca="1" si="121"/>
        <v>0</v>
      </c>
      <c r="U115" s="41">
        <f t="shared" ca="1" si="121"/>
        <v>0</v>
      </c>
      <c r="V115" s="41">
        <f t="shared" ca="1" si="122"/>
        <v>0</v>
      </c>
      <c r="W115" s="264">
        <f t="shared" ca="1" si="137"/>
        <v>0</v>
      </c>
    </row>
    <row r="116" spans="1:23" x14ac:dyDescent="0.25">
      <c r="A116" s="280" t="s">
        <v>644</v>
      </c>
      <c r="B116" s="385" t="s">
        <v>3</v>
      </c>
      <c r="C116" s="263">
        <f t="shared" ca="1" si="123"/>
        <v>0</v>
      </c>
      <c r="D116" s="41" t="str">
        <f t="shared" ca="1" si="124"/>
        <v/>
      </c>
      <c r="E116" s="41" t="str">
        <f t="shared" ca="1" si="125"/>
        <v/>
      </c>
      <c r="F116" s="41" t="str">
        <f t="shared" ca="1" si="126"/>
        <v/>
      </c>
      <c r="G116" s="41" t="str">
        <f t="shared" ca="1" si="127"/>
        <v/>
      </c>
      <c r="H116" s="41" t="str">
        <f t="shared" ca="1" si="128"/>
        <v/>
      </c>
      <c r="I116" s="41" t="str">
        <f t="shared" ca="1" si="129"/>
        <v/>
      </c>
      <c r="J116" s="41" t="str">
        <f t="shared" ca="1" si="130"/>
        <v/>
      </c>
      <c r="K116" s="41" t="str">
        <f t="shared" ca="1" si="131"/>
        <v/>
      </c>
      <c r="L116" s="41" t="str">
        <f t="shared" ca="1" si="132"/>
        <v/>
      </c>
      <c r="M116" s="41" t="str">
        <f t="shared" ca="1" si="133"/>
        <v/>
      </c>
      <c r="N116" s="41" t="str">
        <f t="shared" ca="1" si="134"/>
        <v/>
      </c>
      <c r="O116" s="41" t="str">
        <f t="shared" ca="1" si="135"/>
        <v/>
      </c>
      <c r="P116" s="264" t="str">
        <f t="shared" ca="1" si="136"/>
        <v/>
      </c>
      <c r="Q116" s="362">
        <f t="shared" ca="1" si="121"/>
        <v>0</v>
      </c>
      <c r="R116" s="41">
        <f t="shared" ca="1" si="121"/>
        <v>0</v>
      </c>
      <c r="S116" s="41">
        <f t="shared" ca="1" si="121"/>
        <v>0</v>
      </c>
      <c r="T116" s="41">
        <f t="shared" ca="1" si="121"/>
        <v>0</v>
      </c>
      <c r="U116" s="41">
        <f t="shared" ca="1" si="121"/>
        <v>0</v>
      </c>
      <c r="V116" s="41">
        <f t="shared" ca="1" si="122"/>
        <v>0</v>
      </c>
      <c r="W116" s="264">
        <f t="shared" ca="1" si="137"/>
        <v>0</v>
      </c>
    </row>
    <row r="117" spans="1:23" x14ac:dyDescent="0.25">
      <c r="A117" s="280" t="s">
        <v>645</v>
      </c>
      <c r="B117" s="385" t="s">
        <v>3</v>
      </c>
      <c r="C117" s="263">
        <f t="shared" ca="1" si="123"/>
        <v>0</v>
      </c>
      <c r="D117" s="41" t="str">
        <f t="shared" ca="1" si="124"/>
        <v/>
      </c>
      <c r="E117" s="41" t="str">
        <f t="shared" ca="1" si="125"/>
        <v/>
      </c>
      <c r="F117" s="41" t="str">
        <f t="shared" ca="1" si="126"/>
        <v/>
      </c>
      <c r="G117" s="41" t="str">
        <f t="shared" ca="1" si="127"/>
        <v/>
      </c>
      <c r="H117" s="41" t="str">
        <f t="shared" ca="1" si="128"/>
        <v/>
      </c>
      <c r="I117" s="41" t="str">
        <f t="shared" ca="1" si="129"/>
        <v/>
      </c>
      <c r="J117" s="41" t="str">
        <f t="shared" ca="1" si="130"/>
        <v/>
      </c>
      <c r="K117" s="41" t="str">
        <f t="shared" ca="1" si="131"/>
        <v/>
      </c>
      <c r="L117" s="41" t="str">
        <f t="shared" ca="1" si="132"/>
        <v/>
      </c>
      <c r="M117" s="41" t="str">
        <f t="shared" ca="1" si="133"/>
        <v/>
      </c>
      <c r="N117" s="41" t="str">
        <f t="shared" ca="1" si="134"/>
        <v/>
      </c>
      <c r="O117" s="41" t="str">
        <f t="shared" ca="1" si="135"/>
        <v/>
      </c>
      <c r="P117" s="264" t="str">
        <f t="shared" ca="1" si="136"/>
        <v/>
      </c>
      <c r="Q117" s="362">
        <f t="shared" ca="1" si="121"/>
        <v>0</v>
      </c>
      <c r="R117" s="41">
        <f t="shared" ca="1" si="121"/>
        <v>0</v>
      </c>
      <c r="S117" s="41">
        <f t="shared" ca="1" si="121"/>
        <v>0</v>
      </c>
      <c r="T117" s="41">
        <f t="shared" ca="1" si="121"/>
        <v>0</v>
      </c>
      <c r="U117" s="41">
        <f t="shared" ca="1" si="121"/>
        <v>0</v>
      </c>
      <c r="V117" s="41">
        <f t="shared" ca="1" si="122"/>
        <v>0</v>
      </c>
      <c r="W117" s="264">
        <f t="shared" ca="1" si="137"/>
        <v>0</v>
      </c>
    </row>
    <row r="118" spans="1:23" x14ac:dyDescent="0.25">
      <c r="A118" s="280" t="s">
        <v>646</v>
      </c>
      <c r="B118" s="385" t="s">
        <v>3</v>
      </c>
      <c r="C118" s="263">
        <f t="shared" ca="1" si="123"/>
        <v>0</v>
      </c>
      <c r="D118" s="41" t="str">
        <f t="shared" ca="1" si="124"/>
        <v/>
      </c>
      <c r="E118" s="41" t="str">
        <f t="shared" ca="1" si="125"/>
        <v/>
      </c>
      <c r="F118" s="41" t="str">
        <f t="shared" ca="1" si="126"/>
        <v/>
      </c>
      <c r="G118" s="41" t="str">
        <f t="shared" ca="1" si="127"/>
        <v/>
      </c>
      <c r="H118" s="41" t="str">
        <f t="shared" ca="1" si="128"/>
        <v/>
      </c>
      <c r="I118" s="41" t="str">
        <f t="shared" ca="1" si="129"/>
        <v/>
      </c>
      <c r="J118" s="41" t="str">
        <f t="shared" ca="1" si="130"/>
        <v/>
      </c>
      <c r="K118" s="41" t="str">
        <f t="shared" ca="1" si="131"/>
        <v/>
      </c>
      <c r="L118" s="41" t="str">
        <f t="shared" ca="1" si="132"/>
        <v/>
      </c>
      <c r="M118" s="41" t="str">
        <f t="shared" ca="1" si="133"/>
        <v/>
      </c>
      <c r="N118" s="41" t="str">
        <f t="shared" ca="1" si="134"/>
        <v/>
      </c>
      <c r="O118" s="41" t="str">
        <f t="shared" ca="1" si="135"/>
        <v/>
      </c>
      <c r="P118" s="264" t="str">
        <f t="shared" ca="1" si="136"/>
        <v/>
      </c>
      <c r="Q118" s="362">
        <f t="shared" ca="1" si="121"/>
        <v>0</v>
      </c>
      <c r="R118" s="41">
        <f t="shared" ca="1" si="121"/>
        <v>0</v>
      </c>
      <c r="S118" s="41">
        <f t="shared" ca="1" si="121"/>
        <v>0</v>
      </c>
      <c r="T118" s="41">
        <f t="shared" ca="1" si="121"/>
        <v>0</v>
      </c>
      <c r="U118" s="41">
        <f t="shared" ca="1" si="121"/>
        <v>0</v>
      </c>
      <c r="V118" s="41">
        <f t="shared" ca="1" si="122"/>
        <v>0</v>
      </c>
      <c r="W118" s="264">
        <f t="shared" ca="1" si="137"/>
        <v>0</v>
      </c>
    </row>
    <row r="119" spans="1:23" x14ac:dyDescent="0.25">
      <c r="A119" s="280" t="s">
        <v>11</v>
      </c>
      <c r="B119" s="385" t="s">
        <v>3</v>
      </c>
      <c r="C119" s="263">
        <f t="shared" ca="1" si="123"/>
        <v>0</v>
      </c>
      <c r="D119" s="41" t="str">
        <f t="shared" ca="1" si="124"/>
        <v/>
      </c>
      <c r="E119" s="41" t="str">
        <f t="shared" ca="1" si="125"/>
        <v/>
      </c>
      <c r="F119" s="41" t="str">
        <f t="shared" ca="1" si="126"/>
        <v/>
      </c>
      <c r="G119" s="41" t="str">
        <f t="shared" ca="1" si="127"/>
        <v/>
      </c>
      <c r="H119" s="41" t="str">
        <f t="shared" ca="1" si="128"/>
        <v/>
      </c>
      <c r="I119" s="41" t="str">
        <f t="shared" ca="1" si="129"/>
        <v/>
      </c>
      <c r="J119" s="41" t="str">
        <f t="shared" ca="1" si="130"/>
        <v/>
      </c>
      <c r="K119" s="41" t="str">
        <f t="shared" ca="1" si="131"/>
        <v/>
      </c>
      <c r="L119" s="41" t="str">
        <f t="shared" ca="1" si="132"/>
        <v/>
      </c>
      <c r="M119" s="41" t="str">
        <f t="shared" ca="1" si="133"/>
        <v/>
      </c>
      <c r="N119" s="41" t="str">
        <f t="shared" ca="1" si="134"/>
        <v/>
      </c>
      <c r="O119" s="41" t="str">
        <f t="shared" ca="1" si="135"/>
        <v/>
      </c>
      <c r="P119" s="264" t="str">
        <f t="shared" ca="1" si="136"/>
        <v/>
      </c>
      <c r="Q119" s="362">
        <f t="shared" ca="1" si="121"/>
        <v>0</v>
      </c>
      <c r="R119" s="41">
        <f t="shared" ca="1" si="121"/>
        <v>0</v>
      </c>
      <c r="S119" s="41">
        <f t="shared" ca="1" si="121"/>
        <v>0</v>
      </c>
      <c r="T119" s="41">
        <f t="shared" ca="1" si="121"/>
        <v>0</v>
      </c>
      <c r="U119" s="41">
        <f t="shared" ca="1" si="121"/>
        <v>0</v>
      </c>
      <c r="V119" s="41">
        <f t="shared" ca="1" si="122"/>
        <v>0</v>
      </c>
      <c r="W119" s="264">
        <f t="shared" ca="1" si="137"/>
        <v>0</v>
      </c>
    </row>
    <row r="120" spans="1:23" x14ac:dyDescent="0.25">
      <c r="A120" s="280" t="s">
        <v>647</v>
      </c>
      <c r="B120" s="385" t="s">
        <v>3</v>
      </c>
      <c r="C120" s="263">
        <f t="shared" ca="1" si="123"/>
        <v>0</v>
      </c>
      <c r="D120" s="41" t="str">
        <f t="shared" ca="1" si="124"/>
        <v/>
      </c>
      <c r="E120" s="41" t="str">
        <f t="shared" ca="1" si="125"/>
        <v/>
      </c>
      <c r="F120" s="41" t="str">
        <f t="shared" ca="1" si="126"/>
        <v/>
      </c>
      <c r="G120" s="41" t="str">
        <f t="shared" ca="1" si="127"/>
        <v/>
      </c>
      <c r="H120" s="41" t="str">
        <f t="shared" ca="1" si="128"/>
        <v/>
      </c>
      <c r="I120" s="41" t="str">
        <f t="shared" ca="1" si="129"/>
        <v/>
      </c>
      <c r="J120" s="41" t="str">
        <f t="shared" ca="1" si="130"/>
        <v/>
      </c>
      <c r="K120" s="41" t="str">
        <f t="shared" ca="1" si="131"/>
        <v/>
      </c>
      <c r="L120" s="41" t="str">
        <f t="shared" ca="1" si="132"/>
        <v/>
      </c>
      <c r="M120" s="41" t="str">
        <f t="shared" ca="1" si="133"/>
        <v/>
      </c>
      <c r="N120" s="41" t="str">
        <f t="shared" ca="1" si="134"/>
        <v/>
      </c>
      <c r="O120" s="41" t="str">
        <f t="shared" ca="1" si="135"/>
        <v/>
      </c>
      <c r="P120" s="264" t="str">
        <f t="shared" ca="1" si="136"/>
        <v/>
      </c>
      <c r="Q120" s="362">
        <f t="shared" ca="1" si="121"/>
        <v>0</v>
      </c>
      <c r="R120" s="41">
        <f t="shared" ca="1" si="121"/>
        <v>0</v>
      </c>
      <c r="S120" s="41">
        <f t="shared" ca="1" si="121"/>
        <v>0</v>
      </c>
      <c r="T120" s="41">
        <f t="shared" ca="1" si="121"/>
        <v>0</v>
      </c>
      <c r="U120" s="41">
        <f t="shared" ca="1" si="121"/>
        <v>0</v>
      </c>
      <c r="V120" s="41">
        <f t="shared" ca="1" si="122"/>
        <v>0</v>
      </c>
      <c r="W120" s="264">
        <f t="shared" ca="1" si="137"/>
        <v>0</v>
      </c>
    </row>
    <row r="121" spans="1:23" x14ac:dyDescent="0.25">
      <c r="A121" s="280" t="s">
        <v>648</v>
      </c>
      <c r="B121" s="385" t="s">
        <v>3</v>
      </c>
      <c r="C121" s="263">
        <f t="shared" ca="1" si="123"/>
        <v>0</v>
      </c>
      <c r="D121" s="41" t="str">
        <f t="shared" ca="1" si="124"/>
        <v/>
      </c>
      <c r="E121" s="41" t="str">
        <f t="shared" ca="1" si="125"/>
        <v/>
      </c>
      <c r="F121" s="41" t="str">
        <f t="shared" ca="1" si="126"/>
        <v/>
      </c>
      <c r="G121" s="41" t="str">
        <f t="shared" ca="1" si="127"/>
        <v/>
      </c>
      <c r="H121" s="41" t="str">
        <f t="shared" ca="1" si="128"/>
        <v/>
      </c>
      <c r="I121" s="41" t="str">
        <f t="shared" ca="1" si="129"/>
        <v/>
      </c>
      <c r="J121" s="41" t="str">
        <f t="shared" ca="1" si="130"/>
        <v/>
      </c>
      <c r="K121" s="41" t="str">
        <f t="shared" ca="1" si="131"/>
        <v/>
      </c>
      <c r="L121" s="41" t="str">
        <f t="shared" ca="1" si="132"/>
        <v/>
      </c>
      <c r="M121" s="41" t="str">
        <f t="shared" ca="1" si="133"/>
        <v/>
      </c>
      <c r="N121" s="41" t="str">
        <f t="shared" ca="1" si="134"/>
        <v/>
      </c>
      <c r="O121" s="41" t="str">
        <f t="shared" ca="1" si="135"/>
        <v/>
      </c>
      <c r="P121" s="264" t="str">
        <f t="shared" ca="1" si="136"/>
        <v/>
      </c>
      <c r="Q121" s="362">
        <f t="shared" ca="1" si="121"/>
        <v>0</v>
      </c>
      <c r="R121" s="41">
        <f t="shared" ca="1" si="121"/>
        <v>0</v>
      </c>
      <c r="S121" s="41">
        <f t="shared" ca="1" si="121"/>
        <v>0</v>
      </c>
      <c r="T121" s="41">
        <f t="shared" ca="1" si="121"/>
        <v>0</v>
      </c>
      <c r="U121" s="41">
        <f t="shared" ca="1" si="121"/>
        <v>0</v>
      </c>
      <c r="V121" s="41">
        <f t="shared" ca="1" si="122"/>
        <v>0</v>
      </c>
      <c r="W121" s="264">
        <f t="shared" ca="1" si="137"/>
        <v>0</v>
      </c>
    </row>
    <row r="122" spans="1:23" x14ac:dyDescent="0.25">
      <c r="A122" s="280" t="s">
        <v>649</v>
      </c>
      <c r="B122" s="385" t="s">
        <v>3</v>
      </c>
      <c r="C122" s="263">
        <f t="shared" ca="1" si="123"/>
        <v>0</v>
      </c>
      <c r="D122" s="41" t="str">
        <f t="shared" ca="1" si="124"/>
        <v/>
      </c>
      <c r="E122" s="41" t="str">
        <f t="shared" ca="1" si="125"/>
        <v/>
      </c>
      <c r="F122" s="41" t="str">
        <f t="shared" ca="1" si="126"/>
        <v/>
      </c>
      <c r="G122" s="41" t="str">
        <f t="shared" ca="1" si="127"/>
        <v/>
      </c>
      <c r="H122" s="41" t="str">
        <f t="shared" ca="1" si="128"/>
        <v/>
      </c>
      <c r="I122" s="41" t="str">
        <f t="shared" ca="1" si="129"/>
        <v/>
      </c>
      <c r="J122" s="41" t="str">
        <f t="shared" ca="1" si="130"/>
        <v/>
      </c>
      <c r="K122" s="41" t="str">
        <f t="shared" ca="1" si="131"/>
        <v/>
      </c>
      <c r="L122" s="41" t="str">
        <f t="shared" ca="1" si="132"/>
        <v/>
      </c>
      <c r="M122" s="41" t="str">
        <f t="shared" ca="1" si="133"/>
        <v/>
      </c>
      <c r="N122" s="41" t="str">
        <f t="shared" ca="1" si="134"/>
        <v/>
      </c>
      <c r="O122" s="41" t="str">
        <f t="shared" ca="1" si="135"/>
        <v/>
      </c>
      <c r="P122" s="264" t="str">
        <f t="shared" ca="1" si="136"/>
        <v/>
      </c>
      <c r="Q122" s="362">
        <f t="shared" ca="1" si="121"/>
        <v>0</v>
      </c>
      <c r="R122" s="41">
        <f t="shared" ca="1" si="121"/>
        <v>0</v>
      </c>
      <c r="S122" s="41">
        <f t="shared" ca="1" si="121"/>
        <v>0</v>
      </c>
      <c r="T122" s="41">
        <f t="shared" ca="1" si="121"/>
        <v>0</v>
      </c>
      <c r="U122" s="41">
        <f t="shared" ca="1" si="121"/>
        <v>0</v>
      </c>
      <c r="V122" s="41">
        <f t="shared" ca="1" si="122"/>
        <v>0</v>
      </c>
      <c r="W122" s="264">
        <f t="shared" ca="1" si="137"/>
        <v>0</v>
      </c>
    </row>
    <row r="123" spans="1:23" ht="15.75" thickBot="1" x14ac:dyDescent="0.3">
      <c r="A123" s="280" t="s">
        <v>150</v>
      </c>
      <c r="B123" s="385" t="s">
        <v>3</v>
      </c>
      <c r="C123" s="268">
        <f t="shared" ca="1" si="123"/>
        <v>0</v>
      </c>
      <c r="D123" s="269" t="str">
        <f t="shared" ca="1" si="124"/>
        <v/>
      </c>
      <c r="E123" s="269" t="str">
        <f t="shared" ca="1" si="125"/>
        <v/>
      </c>
      <c r="F123" s="269" t="str">
        <f t="shared" ca="1" si="126"/>
        <v/>
      </c>
      <c r="G123" s="269" t="str">
        <f t="shared" ca="1" si="127"/>
        <v/>
      </c>
      <c r="H123" s="269" t="str">
        <f t="shared" ca="1" si="128"/>
        <v/>
      </c>
      <c r="I123" s="269" t="str">
        <f t="shared" ca="1" si="129"/>
        <v/>
      </c>
      <c r="J123" s="269" t="str">
        <f t="shared" ca="1" si="130"/>
        <v/>
      </c>
      <c r="K123" s="269" t="str">
        <f t="shared" ca="1" si="131"/>
        <v/>
      </c>
      <c r="L123" s="269" t="str">
        <f t="shared" ca="1" si="132"/>
        <v/>
      </c>
      <c r="M123" s="269" t="str">
        <f t="shared" ca="1" si="133"/>
        <v/>
      </c>
      <c r="N123" s="269" t="str">
        <f t="shared" ca="1" si="134"/>
        <v/>
      </c>
      <c r="O123" s="269" t="str">
        <f t="shared" ca="1" si="135"/>
        <v/>
      </c>
      <c r="P123" s="270" t="str">
        <f t="shared" ca="1" si="136"/>
        <v/>
      </c>
      <c r="Q123" s="362">
        <f t="shared" ca="1" si="121"/>
        <v>0</v>
      </c>
      <c r="R123" s="41">
        <f t="shared" ca="1" si="121"/>
        <v>0</v>
      </c>
      <c r="S123" s="41">
        <f t="shared" ca="1" si="121"/>
        <v>0</v>
      </c>
      <c r="T123" s="41">
        <f t="shared" ca="1" si="121"/>
        <v>0</v>
      </c>
      <c r="U123" s="41">
        <f t="shared" ca="1" si="121"/>
        <v>0</v>
      </c>
      <c r="V123" s="41">
        <f t="shared" ca="1" si="122"/>
        <v>0</v>
      </c>
      <c r="W123" s="264">
        <f t="shared" ca="1" si="137"/>
        <v>0</v>
      </c>
    </row>
    <row r="124" spans="1:23" x14ac:dyDescent="0.25">
      <c r="A124" s="280"/>
      <c r="B124" s="385"/>
      <c r="C124" s="379"/>
      <c r="D124" s="380"/>
      <c r="E124" s="380"/>
      <c r="F124" s="380"/>
      <c r="G124" s="380"/>
      <c r="H124" s="380"/>
      <c r="I124" s="380"/>
      <c r="J124" s="380"/>
      <c r="K124" s="380"/>
      <c r="L124" s="380"/>
      <c r="M124" s="380"/>
      <c r="N124" s="380"/>
      <c r="O124" s="380"/>
      <c r="P124" s="422"/>
      <c r="Q124" s="262"/>
      <c r="R124" s="51"/>
      <c r="S124" s="51"/>
      <c r="T124" s="51"/>
      <c r="U124" s="51"/>
      <c r="V124" s="51"/>
      <c r="W124" s="265"/>
    </row>
    <row r="125" spans="1:23" ht="15.75" thickBot="1" x14ac:dyDescent="0.3">
      <c r="A125" s="284" t="s">
        <v>190</v>
      </c>
      <c r="B125" s="385"/>
      <c r="C125" s="377"/>
      <c r="D125" s="378"/>
      <c r="E125" s="378"/>
      <c r="F125" s="378"/>
      <c r="G125" s="378"/>
      <c r="H125" s="378"/>
      <c r="I125" s="378"/>
      <c r="J125" s="378"/>
      <c r="K125" s="378"/>
      <c r="L125" s="378"/>
      <c r="M125" s="378"/>
      <c r="N125" s="378"/>
      <c r="O125" s="378"/>
      <c r="P125" s="421"/>
      <c r="Q125" s="262"/>
      <c r="R125" s="51"/>
      <c r="S125" s="51"/>
      <c r="T125" s="51"/>
      <c r="U125" s="51"/>
      <c r="V125" s="51"/>
      <c r="W125" s="265"/>
    </row>
    <row r="126" spans="1:23" x14ac:dyDescent="0.25">
      <c r="A126" s="285" t="s">
        <v>208</v>
      </c>
      <c r="B126" s="385" t="s">
        <v>4</v>
      </c>
      <c r="C126" s="381">
        <f ca="1">IFERROR(INDIRECT(CONCATENATE("'",C$6,"'!",ADDRESS(ROW(A125)+208,6,4))),"")</f>
        <v>0</v>
      </c>
      <c r="D126" s="382" t="str">
        <f t="shared" ref="D126:P126" ca="1" si="138">IFERROR(INDIRECT(CONCATENATE("'",D$6,"'!",ADDRESS(ROW(B125)+208,6,4))),"")</f>
        <v/>
      </c>
      <c r="E126" s="382" t="str">
        <f t="shared" ca="1" si="138"/>
        <v/>
      </c>
      <c r="F126" s="382" t="str">
        <f t="shared" ca="1" si="138"/>
        <v/>
      </c>
      <c r="G126" s="382" t="str">
        <f t="shared" ca="1" si="138"/>
        <v/>
      </c>
      <c r="H126" s="382" t="str">
        <f t="shared" ca="1" si="138"/>
        <v/>
      </c>
      <c r="I126" s="382" t="str">
        <f t="shared" ca="1" si="138"/>
        <v/>
      </c>
      <c r="J126" s="382" t="str">
        <f t="shared" ca="1" si="138"/>
        <v/>
      </c>
      <c r="K126" s="382" t="str">
        <f t="shared" ca="1" si="138"/>
        <v/>
      </c>
      <c r="L126" s="382" t="str">
        <f t="shared" ca="1" si="138"/>
        <v/>
      </c>
      <c r="M126" s="382" t="str">
        <f t="shared" ca="1" si="138"/>
        <v/>
      </c>
      <c r="N126" s="382" t="str">
        <f t="shared" ca="1" si="138"/>
        <v/>
      </c>
      <c r="O126" s="382" t="str">
        <f t="shared" ca="1" si="138"/>
        <v/>
      </c>
      <c r="P126" s="383" t="str">
        <f t="shared" ca="1" si="138"/>
        <v/>
      </c>
      <c r="Q126" s="362">
        <f t="shared" ref="Q126:V133" ca="1" si="139">SUMIF($C$4:$P$4,"="&amp;Q$6,$C126:$P126)</f>
        <v>0</v>
      </c>
      <c r="R126" s="41">
        <f t="shared" ca="1" si="139"/>
        <v>0</v>
      </c>
      <c r="S126" s="41">
        <f t="shared" ca="1" si="139"/>
        <v>0</v>
      </c>
      <c r="T126" s="41">
        <f t="shared" ca="1" si="139"/>
        <v>0</v>
      </c>
      <c r="U126" s="41">
        <f t="shared" ca="1" si="139"/>
        <v>0</v>
      </c>
      <c r="V126" s="41">
        <f t="shared" ca="1" si="139"/>
        <v>0</v>
      </c>
      <c r="W126" s="264">
        <f ca="1">SUM(Q126:V126)</f>
        <v>0</v>
      </c>
    </row>
    <row r="127" spans="1:23" x14ac:dyDescent="0.25">
      <c r="A127" s="285" t="s">
        <v>209</v>
      </c>
      <c r="B127" s="385" t="s">
        <v>4</v>
      </c>
      <c r="C127" s="263">
        <f t="shared" ref="C127:C133" ca="1" si="140">IFERROR(INDIRECT(CONCATENATE("'",C$6,"'!",ADDRESS(ROW(A126)+208,6,4))),"")</f>
        <v>0</v>
      </c>
      <c r="D127" s="41" t="str">
        <f t="shared" ref="D127:D133" ca="1" si="141">IFERROR(INDIRECT(CONCATENATE("'",D$6,"'!",ADDRESS(ROW(B126)+208,6,4))),"")</f>
        <v/>
      </c>
      <c r="E127" s="41" t="str">
        <f t="shared" ref="E127:E133" ca="1" si="142">IFERROR(INDIRECT(CONCATENATE("'",E$6,"'!",ADDRESS(ROW(C126)+208,6,4))),"")</f>
        <v/>
      </c>
      <c r="F127" s="41" t="str">
        <f t="shared" ref="F127:F133" ca="1" si="143">IFERROR(INDIRECT(CONCATENATE("'",F$6,"'!",ADDRESS(ROW(D126)+208,6,4))),"")</f>
        <v/>
      </c>
      <c r="G127" s="41" t="str">
        <f t="shared" ref="G127:G133" ca="1" si="144">IFERROR(INDIRECT(CONCATENATE("'",G$6,"'!",ADDRESS(ROW(E126)+208,6,4))),"")</f>
        <v/>
      </c>
      <c r="H127" s="41" t="str">
        <f t="shared" ref="H127:H133" ca="1" si="145">IFERROR(INDIRECT(CONCATENATE("'",H$6,"'!",ADDRESS(ROW(F126)+208,6,4))),"")</f>
        <v/>
      </c>
      <c r="I127" s="41" t="str">
        <f t="shared" ref="I127:I133" ca="1" si="146">IFERROR(INDIRECT(CONCATENATE("'",I$6,"'!",ADDRESS(ROW(G126)+208,6,4))),"")</f>
        <v/>
      </c>
      <c r="J127" s="41" t="str">
        <f t="shared" ref="J127:J133" ca="1" si="147">IFERROR(INDIRECT(CONCATENATE("'",J$6,"'!",ADDRESS(ROW(H126)+208,6,4))),"")</f>
        <v/>
      </c>
      <c r="K127" s="41" t="str">
        <f t="shared" ref="K127:K133" ca="1" si="148">IFERROR(INDIRECT(CONCATENATE("'",K$6,"'!",ADDRESS(ROW(I126)+208,6,4))),"")</f>
        <v/>
      </c>
      <c r="L127" s="41" t="str">
        <f t="shared" ref="L127:L133" ca="1" si="149">IFERROR(INDIRECT(CONCATENATE("'",L$6,"'!",ADDRESS(ROW(J126)+208,6,4))),"")</f>
        <v/>
      </c>
      <c r="M127" s="41" t="str">
        <f t="shared" ref="M127:M133" ca="1" si="150">IFERROR(INDIRECT(CONCATENATE("'",M$6,"'!",ADDRESS(ROW(K126)+208,6,4))),"")</f>
        <v/>
      </c>
      <c r="N127" s="41" t="str">
        <f t="shared" ref="N127:N133" ca="1" si="151">IFERROR(INDIRECT(CONCATENATE("'",N$6,"'!",ADDRESS(ROW(L126)+208,6,4))),"")</f>
        <v/>
      </c>
      <c r="O127" s="41" t="str">
        <f t="shared" ref="O127:O133" ca="1" si="152">IFERROR(INDIRECT(CONCATENATE("'",O$6,"'!",ADDRESS(ROW(M126)+208,6,4))),"")</f>
        <v/>
      </c>
      <c r="P127" s="264" t="str">
        <f t="shared" ref="P127:P133" ca="1" si="153">IFERROR(INDIRECT(CONCATENATE("'",P$6,"'!",ADDRESS(ROW(N126)+208,6,4))),"")</f>
        <v/>
      </c>
      <c r="Q127" s="362">
        <f t="shared" ca="1" si="139"/>
        <v>0</v>
      </c>
      <c r="R127" s="41">
        <f t="shared" ca="1" si="139"/>
        <v>0</v>
      </c>
      <c r="S127" s="41">
        <f t="shared" ca="1" si="139"/>
        <v>0</v>
      </c>
      <c r="T127" s="41">
        <f t="shared" ca="1" si="139"/>
        <v>0</v>
      </c>
      <c r="U127" s="41">
        <f t="shared" ca="1" si="139"/>
        <v>0</v>
      </c>
      <c r="V127" s="41">
        <f t="shared" ca="1" si="139"/>
        <v>0</v>
      </c>
      <c r="W127" s="264">
        <f ca="1">SUM(Q127:V127)</f>
        <v>0</v>
      </c>
    </row>
    <row r="128" spans="1:23" x14ac:dyDescent="0.25">
      <c r="A128" s="285" t="s">
        <v>210</v>
      </c>
      <c r="B128" s="385" t="s">
        <v>4</v>
      </c>
      <c r="C128" s="263">
        <f t="shared" ca="1" si="140"/>
        <v>0</v>
      </c>
      <c r="D128" s="41" t="str">
        <f t="shared" ca="1" si="141"/>
        <v/>
      </c>
      <c r="E128" s="41" t="str">
        <f t="shared" ca="1" si="142"/>
        <v/>
      </c>
      <c r="F128" s="41" t="str">
        <f t="shared" ca="1" si="143"/>
        <v/>
      </c>
      <c r="G128" s="41" t="str">
        <f t="shared" ca="1" si="144"/>
        <v/>
      </c>
      <c r="H128" s="41" t="str">
        <f t="shared" ca="1" si="145"/>
        <v/>
      </c>
      <c r="I128" s="41" t="str">
        <f t="shared" ca="1" si="146"/>
        <v/>
      </c>
      <c r="J128" s="41" t="str">
        <f t="shared" ca="1" si="147"/>
        <v/>
      </c>
      <c r="K128" s="41" t="str">
        <f t="shared" ca="1" si="148"/>
        <v/>
      </c>
      <c r="L128" s="41" t="str">
        <f t="shared" ca="1" si="149"/>
        <v/>
      </c>
      <c r="M128" s="41" t="str">
        <f t="shared" ca="1" si="150"/>
        <v/>
      </c>
      <c r="N128" s="41" t="str">
        <f t="shared" ca="1" si="151"/>
        <v/>
      </c>
      <c r="O128" s="41" t="str">
        <f t="shared" ca="1" si="152"/>
        <v/>
      </c>
      <c r="P128" s="264" t="str">
        <f t="shared" ca="1" si="153"/>
        <v/>
      </c>
      <c r="Q128" s="362">
        <f t="shared" ca="1" si="139"/>
        <v>0</v>
      </c>
      <c r="R128" s="41">
        <f t="shared" ca="1" si="139"/>
        <v>0</v>
      </c>
      <c r="S128" s="41">
        <f t="shared" ca="1" si="139"/>
        <v>0</v>
      </c>
      <c r="T128" s="41">
        <f t="shared" ca="1" si="139"/>
        <v>0</v>
      </c>
      <c r="U128" s="41">
        <f t="shared" ca="1" si="139"/>
        <v>0</v>
      </c>
      <c r="V128" s="41">
        <f t="shared" ca="1" si="139"/>
        <v>0</v>
      </c>
      <c r="W128" s="264">
        <f ca="1">SUM(Q128:V128)</f>
        <v>0</v>
      </c>
    </row>
    <row r="129" spans="1:23" x14ac:dyDescent="0.25">
      <c r="A129" s="285" t="s">
        <v>191</v>
      </c>
      <c r="B129" s="385" t="s">
        <v>4</v>
      </c>
      <c r="C129" s="263">
        <f t="shared" ca="1" si="140"/>
        <v>0</v>
      </c>
      <c r="D129" s="41" t="str">
        <f t="shared" ca="1" si="141"/>
        <v/>
      </c>
      <c r="E129" s="41" t="str">
        <f t="shared" ca="1" si="142"/>
        <v/>
      </c>
      <c r="F129" s="41" t="str">
        <f t="shared" ca="1" si="143"/>
        <v/>
      </c>
      <c r="G129" s="41" t="str">
        <f t="shared" ca="1" si="144"/>
        <v/>
      </c>
      <c r="H129" s="41" t="str">
        <f t="shared" ca="1" si="145"/>
        <v/>
      </c>
      <c r="I129" s="41" t="str">
        <f t="shared" ca="1" si="146"/>
        <v/>
      </c>
      <c r="J129" s="41" t="str">
        <f t="shared" ca="1" si="147"/>
        <v/>
      </c>
      <c r="K129" s="41" t="str">
        <f t="shared" ca="1" si="148"/>
        <v/>
      </c>
      <c r="L129" s="41" t="str">
        <f t="shared" ca="1" si="149"/>
        <v/>
      </c>
      <c r="M129" s="41" t="str">
        <f t="shared" ca="1" si="150"/>
        <v/>
      </c>
      <c r="N129" s="41" t="str">
        <f t="shared" ca="1" si="151"/>
        <v/>
      </c>
      <c r="O129" s="41" t="str">
        <f t="shared" ca="1" si="152"/>
        <v/>
      </c>
      <c r="P129" s="264" t="str">
        <f t="shared" ca="1" si="153"/>
        <v/>
      </c>
      <c r="Q129" s="362">
        <f t="shared" ca="1" si="139"/>
        <v>0</v>
      </c>
      <c r="R129" s="41">
        <f t="shared" ca="1" si="139"/>
        <v>0</v>
      </c>
      <c r="S129" s="41">
        <f t="shared" ca="1" si="139"/>
        <v>0</v>
      </c>
      <c r="T129" s="41">
        <f t="shared" ca="1" si="139"/>
        <v>0</v>
      </c>
      <c r="U129" s="41">
        <f t="shared" ca="1" si="139"/>
        <v>0</v>
      </c>
      <c r="V129" s="41">
        <f t="shared" ca="1" si="139"/>
        <v>0</v>
      </c>
      <c r="W129" s="264">
        <f t="shared" ref="W129:W133" ca="1" si="154">SUM(Q129:V129)</f>
        <v>0</v>
      </c>
    </row>
    <row r="130" spans="1:23" x14ac:dyDescent="0.25">
      <c r="A130" s="285" t="s">
        <v>211</v>
      </c>
      <c r="B130" s="385" t="s">
        <v>4</v>
      </c>
      <c r="C130" s="263">
        <f t="shared" ca="1" si="140"/>
        <v>0</v>
      </c>
      <c r="D130" s="41" t="str">
        <f t="shared" ca="1" si="141"/>
        <v/>
      </c>
      <c r="E130" s="41" t="str">
        <f t="shared" ca="1" si="142"/>
        <v/>
      </c>
      <c r="F130" s="41" t="str">
        <f t="shared" ca="1" si="143"/>
        <v/>
      </c>
      <c r="G130" s="41" t="str">
        <f t="shared" ca="1" si="144"/>
        <v/>
      </c>
      <c r="H130" s="41" t="str">
        <f t="shared" ca="1" si="145"/>
        <v/>
      </c>
      <c r="I130" s="41" t="str">
        <f t="shared" ca="1" si="146"/>
        <v/>
      </c>
      <c r="J130" s="41" t="str">
        <f t="shared" ca="1" si="147"/>
        <v/>
      </c>
      <c r="K130" s="41" t="str">
        <f t="shared" ca="1" si="148"/>
        <v/>
      </c>
      <c r="L130" s="41" t="str">
        <f t="shared" ca="1" si="149"/>
        <v/>
      </c>
      <c r="M130" s="41" t="str">
        <f t="shared" ca="1" si="150"/>
        <v/>
      </c>
      <c r="N130" s="41" t="str">
        <f t="shared" ca="1" si="151"/>
        <v/>
      </c>
      <c r="O130" s="41" t="str">
        <f t="shared" ca="1" si="152"/>
        <v/>
      </c>
      <c r="P130" s="264" t="str">
        <f t="shared" ca="1" si="153"/>
        <v/>
      </c>
      <c r="Q130" s="362">
        <f t="shared" ca="1" si="139"/>
        <v>0</v>
      </c>
      <c r="R130" s="41">
        <f t="shared" ca="1" si="139"/>
        <v>0</v>
      </c>
      <c r="S130" s="41">
        <f t="shared" ca="1" si="139"/>
        <v>0</v>
      </c>
      <c r="T130" s="41">
        <f t="shared" ca="1" si="139"/>
        <v>0</v>
      </c>
      <c r="U130" s="41">
        <f t="shared" ca="1" si="139"/>
        <v>0</v>
      </c>
      <c r="V130" s="41">
        <f t="shared" ca="1" si="139"/>
        <v>0</v>
      </c>
      <c r="W130" s="264">
        <f t="shared" ca="1" si="154"/>
        <v>0</v>
      </c>
    </row>
    <row r="131" spans="1:23" x14ac:dyDescent="0.25">
      <c r="A131" s="285" t="s">
        <v>212</v>
      </c>
      <c r="B131" s="385" t="s">
        <v>4</v>
      </c>
      <c r="C131" s="263">
        <f t="shared" ca="1" si="140"/>
        <v>0</v>
      </c>
      <c r="D131" s="41" t="str">
        <f t="shared" ca="1" si="141"/>
        <v/>
      </c>
      <c r="E131" s="41" t="str">
        <f t="shared" ca="1" si="142"/>
        <v/>
      </c>
      <c r="F131" s="41" t="str">
        <f t="shared" ca="1" si="143"/>
        <v/>
      </c>
      <c r="G131" s="41" t="str">
        <f t="shared" ca="1" si="144"/>
        <v/>
      </c>
      <c r="H131" s="41" t="str">
        <f t="shared" ca="1" si="145"/>
        <v/>
      </c>
      <c r="I131" s="41" t="str">
        <f t="shared" ca="1" si="146"/>
        <v/>
      </c>
      <c r="J131" s="41" t="str">
        <f t="shared" ca="1" si="147"/>
        <v/>
      </c>
      <c r="K131" s="41" t="str">
        <f t="shared" ca="1" si="148"/>
        <v/>
      </c>
      <c r="L131" s="41" t="str">
        <f t="shared" ca="1" si="149"/>
        <v/>
      </c>
      <c r="M131" s="41" t="str">
        <f t="shared" ca="1" si="150"/>
        <v/>
      </c>
      <c r="N131" s="41" t="str">
        <f t="shared" ca="1" si="151"/>
        <v/>
      </c>
      <c r="O131" s="41" t="str">
        <f t="shared" ca="1" si="152"/>
        <v/>
      </c>
      <c r="P131" s="264" t="str">
        <f t="shared" ca="1" si="153"/>
        <v/>
      </c>
      <c r="Q131" s="362">
        <f t="shared" ca="1" si="139"/>
        <v>0</v>
      </c>
      <c r="R131" s="41">
        <f t="shared" ca="1" si="139"/>
        <v>0</v>
      </c>
      <c r="S131" s="41">
        <f t="shared" ca="1" si="139"/>
        <v>0</v>
      </c>
      <c r="T131" s="41">
        <f t="shared" ca="1" si="139"/>
        <v>0</v>
      </c>
      <c r="U131" s="41">
        <f t="shared" ca="1" si="139"/>
        <v>0</v>
      </c>
      <c r="V131" s="41">
        <f t="shared" ca="1" si="139"/>
        <v>0</v>
      </c>
      <c r="W131" s="264">
        <f t="shared" ca="1" si="154"/>
        <v>0</v>
      </c>
    </row>
    <row r="132" spans="1:23" x14ac:dyDescent="0.25">
      <c r="A132" s="285" t="s">
        <v>213</v>
      </c>
      <c r="B132" s="385" t="s">
        <v>4</v>
      </c>
      <c r="C132" s="263">
        <f t="shared" ca="1" si="140"/>
        <v>0</v>
      </c>
      <c r="D132" s="41" t="str">
        <f t="shared" ca="1" si="141"/>
        <v/>
      </c>
      <c r="E132" s="41" t="str">
        <f t="shared" ca="1" si="142"/>
        <v/>
      </c>
      <c r="F132" s="41" t="str">
        <f t="shared" ca="1" si="143"/>
        <v/>
      </c>
      <c r="G132" s="41" t="str">
        <f t="shared" ca="1" si="144"/>
        <v/>
      </c>
      <c r="H132" s="41" t="str">
        <f t="shared" ca="1" si="145"/>
        <v/>
      </c>
      <c r="I132" s="41" t="str">
        <f t="shared" ca="1" si="146"/>
        <v/>
      </c>
      <c r="J132" s="41" t="str">
        <f t="shared" ca="1" si="147"/>
        <v/>
      </c>
      <c r="K132" s="41" t="str">
        <f t="shared" ca="1" si="148"/>
        <v/>
      </c>
      <c r="L132" s="41" t="str">
        <f t="shared" ca="1" si="149"/>
        <v/>
      </c>
      <c r="M132" s="41" t="str">
        <f t="shared" ca="1" si="150"/>
        <v/>
      </c>
      <c r="N132" s="41" t="str">
        <f t="shared" ca="1" si="151"/>
        <v/>
      </c>
      <c r="O132" s="41" t="str">
        <f t="shared" ca="1" si="152"/>
        <v/>
      </c>
      <c r="P132" s="264" t="str">
        <f t="shared" ca="1" si="153"/>
        <v/>
      </c>
      <c r="Q132" s="362">
        <f t="shared" ca="1" si="139"/>
        <v>0</v>
      </c>
      <c r="R132" s="41">
        <f t="shared" ca="1" si="139"/>
        <v>0</v>
      </c>
      <c r="S132" s="41">
        <f t="shared" ca="1" si="139"/>
        <v>0</v>
      </c>
      <c r="T132" s="41">
        <f t="shared" ca="1" si="139"/>
        <v>0</v>
      </c>
      <c r="U132" s="41">
        <f t="shared" ca="1" si="139"/>
        <v>0</v>
      </c>
      <c r="V132" s="41">
        <f t="shared" ca="1" si="139"/>
        <v>0</v>
      </c>
      <c r="W132" s="264">
        <f t="shared" ca="1" si="154"/>
        <v>0</v>
      </c>
    </row>
    <row r="133" spans="1:23" ht="15.75" thickBot="1" x14ac:dyDescent="0.3">
      <c r="A133" s="285" t="s">
        <v>192</v>
      </c>
      <c r="B133" s="385" t="s">
        <v>4</v>
      </c>
      <c r="C133" s="268">
        <f t="shared" ca="1" si="140"/>
        <v>0</v>
      </c>
      <c r="D133" s="269" t="str">
        <f t="shared" ca="1" si="141"/>
        <v/>
      </c>
      <c r="E133" s="269" t="str">
        <f t="shared" ca="1" si="142"/>
        <v/>
      </c>
      <c r="F133" s="269" t="str">
        <f t="shared" ca="1" si="143"/>
        <v/>
      </c>
      <c r="G133" s="269" t="str">
        <f t="shared" ca="1" si="144"/>
        <v/>
      </c>
      <c r="H133" s="269" t="str">
        <f t="shared" ca="1" si="145"/>
        <v/>
      </c>
      <c r="I133" s="269" t="str">
        <f t="shared" ca="1" si="146"/>
        <v/>
      </c>
      <c r="J133" s="269" t="str">
        <f t="shared" ca="1" si="147"/>
        <v/>
      </c>
      <c r="K133" s="269" t="str">
        <f t="shared" ca="1" si="148"/>
        <v/>
      </c>
      <c r="L133" s="269" t="str">
        <f t="shared" ca="1" si="149"/>
        <v/>
      </c>
      <c r="M133" s="269" t="str">
        <f t="shared" ca="1" si="150"/>
        <v/>
      </c>
      <c r="N133" s="269" t="str">
        <f t="shared" ca="1" si="151"/>
        <v/>
      </c>
      <c r="O133" s="269" t="str">
        <f t="shared" ca="1" si="152"/>
        <v/>
      </c>
      <c r="P133" s="270" t="str">
        <f t="shared" ca="1" si="153"/>
        <v/>
      </c>
      <c r="Q133" s="362">
        <f t="shared" ca="1" si="139"/>
        <v>0</v>
      </c>
      <c r="R133" s="41">
        <f t="shared" ca="1" si="139"/>
        <v>0</v>
      </c>
      <c r="S133" s="41">
        <f t="shared" ca="1" si="139"/>
        <v>0</v>
      </c>
      <c r="T133" s="41">
        <f t="shared" ca="1" si="139"/>
        <v>0</v>
      </c>
      <c r="U133" s="41">
        <f t="shared" ca="1" si="139"/>
        <v>0</v>
      </c>
      <c r="V133" s="41">
        <f t="shared" ca="1" si="139"/>
        <v>0</v>
      </c>
      <c r="W133" s="264">
        <f t="shared" ca="1" si="154"/>
        <v>0</v>
      </c>
    </row>
    <row r="134" spans="1:23" x14ac:dyDescent="0.25">
      <c r="A134" s="280"/>
      <c r="B134" s="385"/>
      <c r="C134" s="379"/>
      <c r="D134" s="380"/>
      <c r="E134" s="380"/>
      <c r="F134" s="380"/>
      <c r="G134" s="380"/>
      <c r="H134" s="380"/>
      <c r="I134" s="380"/>
      <c r="J134" s="380"/>
      <c r="K134" s="380"/>
      <c r="L134" s="380"/>
      <c r="M134" s="380"/>
      <c r="N134" s="380"/>
      <c r="O134" s="380"/>
      <c r="P134" s="422"/>
      <c r="Q134" s="262"/>
      <c r="R134" s="51"/>
      <c r="S134" s="51"/>
      <c r="T134" s="51"/>
      <c r="U134" s="51"/>
      <c r="V134" s="51"/>
      <c r="W134" s="265"/>
    </row>
    <row r="135" spans="1:23" ht="15.75" thickBot="1" x14ac:dyDescent="0.3">
      <c r="A135" s="281" t="s">
        <v>128</v>
      </c>
      <c r="B135" s="385"/>
      <c r="C135" s="377"/>
      <c r="D135" s="378"/>
      <c r="E135" s="378"/>
      <c r="F135" s="378"/>
      <c r="G135" s="378"/>
      <c r="H135" s="378"/>
      <c r="I135" s="378"/>
      <c r="J135" s="378"/>
      <c r="K135" s="378"/>
      <c r="L135" s="378"/>
      <c r="M135" s="378"/>
      <c r="N135" s="378"/>
      <c r="O135" s="378"/>
      <c r="P135" s="421"/>
      <c r="Q135" s="262"/>
      <c r="R135" s="51"/>
      <c r="S135" s="51"/>
      <c r="T135" s="51"/>
      <c r="U135" s="51"/>
      <c r="V135" s="51"/>
      <c r="W135" s="265"/>
    </row>
    <row r="136" spans="1:23" x14ac:dyDescent="0.25">
      <c r="A136" s="280" t="s">
        <v>172</v>
      </c>
      <c r="B136" s="385" t="s">
        <v>93</v>
      </c>
      <c r="C136" s="381">
        <f ca="1">IFERROR(INDIRECT(CONCATENATE("'",C$6,"'!",ADDRESS(ROW(A135)+208,6,4))),"")</f>
        <v>0</v>
      </c>
      <c r="D136" s="382" t="str">
        <f t="shared" ref="D136:P136" ca="1" si="155">IFERROR(INDIRECT(CONCATENATE("'",D$6,"'!",ADDRESS(ROW(B135)+208,6,4))),"")</f>
        <v/>
      </c>
      <c r="E136" s="382" t="str">
        <f t="shared" ca="1" si="155"/>
        <v/>
      </c>
      <c r="F136" s="382" t="str">
        <f t="shared" ca="1" si="155"/>
        <v/>
      </c>
      <c r="G136" s="382" t="str">
        <f t="shared" ca="1" si="155"/>
        <v/>
      </c>
      <c r="H136" s="382" t="str">
        <f t="shared" ca="1" si="155"/>
        <v/>
      </c>
      <c r="I136" s="382" t="str">
        <f t="shared" ca="1" si="155"/>
        <v/>
      </c>
      <c r="J136" s="382" t="str">
        <f t="shared" ca="1" si="155"/>
        <v/>
      </c>
      <c r="K136" s="382" t="str">
        <f t="shared" ca="1" si="155"/>
        <v/>
      </c>
      <c r="L136" s="382" t="str">
        <f t="shared" ca="1" si="155"/>
        <v/>
      </c>
      <c r="M136" s="382" t="str">
        <f t="shared" ca="1" si="155"/>
        <v/>
      </c>
      <c r="N136" s="382" t="str">
        <f t="shared" ca="1" si="155"/>
        <v/>
      </c>
      <c r="O136" s="382" t="str">
        <f t="shared" ca="1" si="155"/>
        <v/>
      </c>
      <c r="P136" s="383" t="str">
        <f t="shared" ca="1" si="155"/>
        <v/>
      </c>
      <c r="Q136" s="362">
        <f t="shared" ref="Q136:V141" ca="1" si="156">SUMIF($C$4:$P$4,"="&amp;Q$6,$C136:$P136)</f>
        <v>0</v>
      </c>
      <c r="R136" s="41">
        <f t="shared" ca="1" si="156"/>
        <v>0</v>
      </c>
      <c r="S136" s="41">
        <f t="shared" ca="1" si="156"/>
        <v>0</v>
      </c>
      <c r="T136" s="41">
        <f t="shared" ca="1" si="156"/>
        <v>0</v>
      </c>
      <c r="U136" s="41">
        <f t="shared" ca="1" si="156"/>
        <v>0</v>
      </c>
      <c r="V136" s="41">
        <f t="shared" ca="1" si="156"/>
        <v>0</v>
      </c>
      <c r="W136" s="264">
        <f ca="1">SUM(Q136:V136)</f>
        <v>0</v>
      </c>
    </row>
    <row r="137" spans="1:23" x14ac:dyDescent="0.25">
      <c r="A137" s="280" t="s">
        <v>173</v>
      </c>
      <c r="B137" s="385" t="s">
        <v>93</v>
      </c>
      <c r="C137" s="263">
        <f t="shared" ref="C137:C141" ca="1" si="157">IFERROR(INDIRECT(CONCATENATE("'",C$6,"'!",ADDRESS(ROW(A136)+208,6,4))),"")</f>
        <v>0</v>
      </c>
      <c r="D137" s="41" t="str">
        <f t="shared" ref="D137:D141" ca="1" si="158">IFERROR(INDIRECT(CONCATENATE("'",D$6,"'!",ADDRESS(ROW(B136)+208,6,4))),"")</f>
        <v/>
      </c>
      <c r="E137" s="41" t="str">
        <f t="shared" ref="E137:E141" ca="1" si="159">IFERROR(INDIRECT(CONCATENATE("'",E$6,"'!",ADDRESS(ROW(C136)+208,6,4))),"")</f>
        <v/>
      </c>
      <c r="F137" s="41" t="str">
        <f t="shared" ref="F137:F141" ca="1" si="160">IFERROR(INDIRECT(CONCATENATE("'",F$6,"'!",ADDRESS(ROW(D136)+208,6,4))),"")</f>
        <v/>
      </c>
      <c r="G137" s="41" t="str">
        <f t="shared" ref="G137:G141" ca="1" si="161">IFERROR(INDIRECT(CONCATENATE("'",G$6,"'!",ADDRESS(ROW(E136)+208,6,4))),"")</f>
        <v/>
      </c>
      <c r="H137" s="41" t="str">
        <f t="shared" ref="H137:H141" ca="1" si="162">IFERROR(INDIRECT(CONCATENATE("'",H$6,"'!",ADDRESS(ROW(F136)+208,6,4))),"")</f>
        <v/>
      </c>
      <c r="I137" s="41" t="str">
        <f t="shared" ref="I137:I141" ca="1" si="163">IFERROR(INDIRECT(CONCATENATE("'",I$6,"'!",ADDRESS(ROW(G136)+208,6,4))),"")</f>
        <v/>
      </c>
      <c r="J137" s="41" t="str">
        <f t="shared" ref="J137:J141" ca="1" si="164">IFERROR(INDIRECT(CONCATENATE("'",J$6,"'!",ADDRESS(ROW(H136)+208,6,4))),"")</f>
        <v/>
      </c>
      <c r="K137" s="41" t="str">
        <f t="shared" ref="K137:K141" ca="1" si="165">IFERROR(INDIRECT(CONCATENATE("'",K$6,"'!",ADDRESS(ROW(I136)+208,6,4))),"")</f>
        <v/>
      </c>
      <c r="L137" s="41" t="str">
        <f t="shared" ref="L137:L141" ca="1" si="166">IFERROR(INDIRECT(CONCATENATE("'",L$6,"'!",ADDRESS(ROW(J136)+208,6,4))),"")</f>
        <v/>
      </c>
      <c r="M137" s="41" t="str">
        <f t="shared" ref="M137:M141" ca="1" si="167">IFERROR(INDIRECT(CONCATENATE("'",M$6,"'!",ADDRESS(ROW(K136)+208,6,4))),"")</f>
        <v/>
      </c>
      <c r="N137" s="41" t="str">
        <f t="shared" ref="N137:N141" ca="1" si="168">IFERROR(INDIRECT(CONCATENATE("'",N$6,"'!",ADDRESS(ROW(L136)+208,6,4))),"")</f>
        <v/>
      </c>
      <c r="O137" s="41" t="str">
        <f t="shared" ref="O137:O141" ca="1" si="169">IFERROR(INDIRECT(CONCATENATE("'",O$6,"'!",ADDRESS(ROW(M136)+208,6,4))),"")</f>
        <v/>
      </c>
      <c r="P137" s="264" t="str">
        <f t="shared" ref="P137:P141" ca="1" si="170">IFERROR(INDIRECT(CONCATENATE("'",P$6,"'!",ADDRESS(ROW(N136)+208,6,4))),"")</f>
        <v/>
      </c>
      <c r="Q137" s="362">
        <f t="shared" ca="1" si="156"/>
        <v>0</v>
      </c>
      <c r="R137" s="41">
        <f t="shared" ca="1" si="156"/>
        <v>0</v>
      </c>
      <c r="S137" s="41">
        <f t="shared" ca="1" si="156"/>
        <v>0</v>
      </c>
      <c r="T137" s="41">
        <f t="shared" ca="1" si="156"/>
        <v>0</v>
      </c>
      <c r="U137" s="41">
        <f t="shared" ca="1" si="156"/>
        <v>0</v>
      </c>
      <c r="V137" s="41">
        <f t="shared" ca="1" si="156"/>
        <v>0</v>
      </c>
      <c r="W137" s="264">
        <f t="shared" ref="W137:W139" ca="1" si="171">SUM(Q137:V137)</f>
        <v>0</v>
      </c>
    </row>
    <row r="138" spans="1:23" x14ac:dyDescent="0.25">
      <c r="A138" s="280" t="s">
        <v>174</v>
      </c>
      <c r="B138" s="385" t="s">
        <v>93</v>
      </c>
      <c r="C138" s="263">
        <f t="shared" ca="1" si="157"/>
        <v>0</v>
      </c>
      <c r="D138" s="41" t="str">
        <f t="shared" ca="1" si="158"/>
        <v/>
      </c>
      <c r="E138" s="41" t="str">
        <f t="shared" ca="1" si="159"/>
        <v/>
      </c>
      <c r="F138" s="41" t="str">
        <f t="shared" ca="1" si="160"/>
        <v/>
      </c>
      <c r="G138" s="41" t="str">
        <f t="shared" ca="1" si="161"/>
        <v/>
      </c>
      <c r="H138" s="41" t="str">
        <f t="shared" ca="1" si="162"/>
        <v/>
      </c>
      <c r="I138" s="41" t="str">
        <f t="shared" ca="1" si="163"/>
        <v/>
      </c>
      <c r="J138" s="41" t="str">
        <f t="shared" ca="1" si="164"/>
        <v/>
      </c>
      <c r="K138" s="41" t="str">
        <f t="shared" ca="1" si="165"/>
        <v/>
      </c>
      <c r="L138" s="41" t="str">
        <f t="shared" ca="1" si="166"/>
        <v/>
      </c>
      <c r="M138" s="41" t="str">
        <f t="shared" ca="1" si="167"/>
        <v/>
      </c>
      <c r="N138" s="41" t="str">
        <f t="shared" ca="1" si="168"/>
        <v/>
      </c>
      <c r="O138" s="41" t="str">
        <f t="shared" ca="1" si="169"/>
        <v/>
      </c>
      <c r="P138" s="264" t="str">
        <f t="shared" ca="1" si="170"/>
        <v/>
      </c>
      <c r="Q138" s="362">
        <f t="shared" ca="1" si="156"/>
        <v>0</v>
      </c>
      <c r="R138" s="41">
        <f t="shared" ca="1" si="156"/>
        <v>0</v>
      </c>
      <c r="S138" s="41">
        <f t="shared" ca="1" si="156"/>
        <v>0</v>
      </c>
      <c r="T138" s="41">
        <f t="shared" ca="1" si="156"/>
        <v>0</v>
      </c>
      <c r="U138" s="41">
        <f t="shared" ca="1" si="156"/>
        <v>0</v>
      </c>
      <c r="V138" s="41">
        <f t="shared" ca="1" si="156"/>
        <v>0</v>
      </c>
      <c r="W138" s="264">
        <f t="shared" ca="1" si="171"/>
        <v>0</v>
      </c>
    </row>
    <row r="139" spans="1:23" x14ac:dyDescent="0.25">
      <c r="A139" s="280" t="s">
        <v>686</v>
      </c>
      <c r="B139" s="385" t="s">
        <v>138</v>
      </c>
      <c r="C139" s="263">
        <f t="shared" ca="1" si="157"/>
        <v>0</v>
      </c>
      <c r="D139" s="41" t="str">
        <f t="shared" ca="1" si="158"/>
        <v/>
      </c>
      <c r="E139" s="41" t="str">
        <f t="shared" ca="1" si="159"/>
        <v/>
      </c>
      <c r="F139" s="41" t="str">
        <f t="shared" ca="1" si="160"/>
        <v/>
      </c>
      <c r="G139" s="41" t="str">
        <f t="shared" ca="1" si="161"/>
        <v/>
      </c>
      <c r="H139" s="41" t="str">
        <f t="shared" ca="1" si="162"/>
        <v/>
      </c>
      <c r="I139" s="41" t="str">
        <f t="shared" ca="1" si="163"/>
        <v/>
      </c>
      <c r="J139" s="41" t="str">
        <f t="shared" ca="1" si="164"/>
        <v/>
      </c>
      <c r="K139" s="41" t="str">
        <f t="shared" ca="1" si="165"/>
        <v/>
      </c>
      <c r="L139" s="41" t="str">
        <f t="shared" ca="1" si="166"/>
        <v/>
      </c>
      <c r="M139" s="41" t="str">
        <f t="shared" ca="1" si="167"/>
        <v/>
      </c>
      <c r="N139" s="41" t="str">
        <f t="shared" ca="1" si="168"/>
        <v/>
      </c>
      <c r="O139" s="41" t="str">
        <f t="shared" ca="1" si="169"/>
        <v/>
      </c>
      <c r="P139" s="264" t="str">
        <f t="shared" ca="1" si="170"/>
        <v/>
      </c>
      <c r="Q139" s="362">
        <f t="shared" ca="1" si="156"/>
        <v>0</v>
      </c>
      <c r="R139" s="41">
        <f t="shared" ca="1" si="156"/>
        <v>0</v>
      </c>
      <c r="S139" s="41">
        <f t="shared" ca="1" si="156"/>
        <v>0</v>
      </c>
      <c r="T139" s="41">
        <f t="shared" ca="1" si="156"/>
        <v>0</v>
      </c>
      <c r="U139" s="41">
        <f t="shared" ca="1" si="156"/>
        <v>0</v>
      </c>
      <c r="V139" s="41">
        <f t="shared" ca="1" si="156"/>
        <v>0</v>
      </c>
      <c r="W139" s="264">
        <f t="shared" ca="1" si="171"/>
        <v>0</v>
      </c>
    </row>
    <row r="140" spans="1:23" x14ac:dyDescent="0.25">
      <c r="A140" s="280" t="s">
        <v>687</v>
      </c>
      <c r="B140" s="385" t="s">
        <v>93</v>
      </c>
      <c r="C140" s="263">
        <f t="shared" ca="1" si="157"/>
        <v>0</v>
      </c>
      <c r="D140" s="41" t="str">
        <f t="shared" ca="1" si="158"/>
        <v/>
      </c>
      <c r="E140" s="41" t="str">
        <f t="shared" ca="1" si="159"/>
        <v/>
      </c>
      <c r="F140" s="41" t="str">
        <f t="shared" ca="1" si="160"/>
        <v/>
      </c>
      <c r="G140" s="41" t="str">
        <f t="shared" ca="1" si="161"/>
        <v/>
      </c>
      <c r="H140" s="41" t="str">
        <f t="shared" ca="1" si="162"/>
        <v/>
      </c>
      <c r="I140" s="41" t="str">
        <f t="shared" ca="1" si="163"/>
        <v/>
      </c>
      <c r="J140" s="41" t="str">
        <f t="shared" ca="1" si="164"/>
        <v/>
      </c>
      <c r="K140" s="41" t="str">
        <f t="shared" ca="1" si="165"/>
        <v/>
      </c>
      <c r="L140" s="41" t="str">
        <f t="shared" ca="1" si="166"/>
        <v/>
      </c>
      <c r="M140" s="41" t="str">
        <f t="shared" ca="1" si="167"/>
        <v/>
      </c>
      <c r="N140" s="41" t="str">
        <f t="shared" ca="1" si="168"/>
        <v/>
      </c>
      <c r="O140" s="41" t="str">
        <f t="shared" ca="1" si="169"/>
        <v/>
      </c>
      <c r="P140" s="264" t="str">
        <f t="shared" ca="1" si="170"/>
        <v/>
      </c>
      <c r="Q140" s="362">
        <f t="shared" ca="1" si="156"/>
        <v>0</v>
      </c>
      <c r="R140" s="41">
        <f t="shared" ca="1" si="156"/>
        <v>0</v>
      </c>
      <c r="S140" s="41">
        <f t="shared" ca="1" si="156"/>
        <v>0</v>
      </c>
      <c r="T140" s="41">
        <f t="shared" ca="1" si="156"/>
        <v>0</v>
      </c>
      <c r="U140" s="41">
        <f t="shared" ca="1" si="156"/>
        <v>0</v>
      </c>
      <c r="V140" s="41">
        <f t="shared" ca="1" si="156"/>
        <v>0</v>
      </c>
      <c r="W140" s="264">
        <f ca="1">SUM(Q140:V140)</f>
        <v>0</v>
      </c>
    </row>
    <row r="141" spans="1:23" ht="15.75" thickBot="1" x14ac:dyDescent="0.3">
      <c r="A141" s="280" t="s">
        <v>175</v>
      </c>
      <c r="B141" s="385" t="s">
        <v>138</v>
      </c>
      <c r="C141" s="268">
        <f t="shared" ca="1" si="157"/>
        <v>0</v>
      </c>
      <c r="D141" s="269" t="str">
        <f t="shared" ca="1" si="158"/>
        <v/>
      </c>
      <c r="E141" s="269" t="str">
        <f t="shared" ca="1" si="159"/>
        <v/>
      </c>
      <c r="F141" s="269" t="str">
        <f t="shared" ca="1" si="160"/>
        <v/>
      </c>
      <c r="G141" s="269" t="str">
        <f t="shared" ca="1" si="161"/>
        <v/>
      </c>
      <c r="H141" s="269" t="str">
        <f t="shared" ca="1" si="162"/>
        <v/>
      </c>
      <c r="I141" s="269" t="str">
        <f t="shared" ca="1" si="163"/>
        <v/>
      </c>
      <c r="J141" s="269" t="str">
        <f t="shared" ca="1" si="164"/>
        <v/>
      </c>
      <c r="K141" s="269" t="str">
        <f t="shared" ca="1" si="165"/>
        <v/>
      </c>
      <c r="L141" s="269" t="str">
        <f t="shared" ca="1" si="166"/>
        <v/>
      </c>
      <c r="M141" s="269" t="str">
        <f t="shared" ca="1" si="167"/>
        <v/>
      </c>
      <c r="N141" s="269" t="str">
        <f t="shared" ca="1" si="168"/>
        <v/>
      </c>
      <c r="O141" s="269" t="str">
        <f t="shared" ca="1" si="169"/>
        <v/>
      </c>
      <c r="P141" s="270" t="str">
        <f t="shared" ca="1" si="170"/>
        <v/>
      </c>
      <c r="Q141" s="362">
        <f t="shared" ca="1" si="156"/>
        <v>0</v>
      </c>
      <c r="R141" s="41">
        <f t="shared" ca="1" si="156"/>
        <v>0</v>
      </c>
      <c r="S141" s="41">
        <f t="shared" ca="1" si="156"/>
        <v>0</v>
      </c>
      <c r="T141" s="41">
        <f t="shared" ca="1" si="156"/>
        <v>0</v>
      </c>
      <c r="U141" s="41">
        <f t="shared" ca="1" si="156"/>
        <v>0</v>
      </c>
      <c r="V141" s="41">
        <f t="shared" ca="1" si="156"/>
        <v>0</v>
      </c>
      <c r="W141" s="264">
        <f ca="1">SUM(Q141:V141)</f>
        <v>0</v>
      </c>
    </row>
    <row r="142" spans="1:23" x14ac:dyDescent="0.25">
      <c r="A142" s="280"/>
      <c r="B142" s="385"/>
      <c r="C142" s="379"/>
      <c r="D142" s="380"/>
      <c r="E142" s="380"/>
      <c r="F142" s="380"/>
      <c r="G142" s="380"/>
      <c r="H142" s="380"/>
      <c r="I142" s="380"/>
      <c r="J142" s="380"/>
      <c r="K142" s="380"/>
      <c r="L142" s="380"/>
      <c r="M142" s="380"/>
      <c r="N142" s="380"/>
      <c r="O142" s="380"/>
      <c r="P142" s="422"/>
      <c r="Q142" s="262"/>
      <c r="R142" s="51"/>
      <c r="S142" s="51"/>
      <c r="T142" s="51"/>
      <c r="U142" s="51"/>
      <c r="V142" s="51"/>
      <c r="W142" s="265"/>
    </row>
    <row r="143" spans="1:23" ht="15.75" thickBot="1" x14ac:dyDescent="0.3">
      <c r="A143" s="284" t="s">
        <v>199</v>
      </c>
      <c r="B143" s="385"/>
      <c r="C143" s="377"/>
      <c r="D143" s="378"/>
      <c r="E143" s="378"/>
      <c r="F143" s="378"/>
      <c r="G143" s="378"/>
      <c r="H143" s="378"/>
      <c r="I143" s="378"/>
      <c r="J143" s="378"/>
      <c r="K143" s="378"/>
      <c r="L143" s="378"/>
      <c r="M143" s="378"/>
      <c r="N143" s="378"/>
      <c r="O143" s="378"/>
      <c r="P143" s="421"/>
      <c r="Q143" s="262"/>
      <c r="R143" s="51"/>
      <c r="S143" s="51"/>
      <c r="T143" s="51"/>
      <c r="U143" s="51"/>
      <c r="V143" s="51"/>
      <c r="W143" s="265"/>
    </row>
    <row r="144" spans="1:23" x14ac:dyDescent="0.25">
      <c r="A144" s="280" t="s">
        <v>194</v>
      </c>
      <c r="B144" s="385" t="s">
        <v>48</v>
      </c>
      <c r="C144" s="381">
        <f ca="1">IFERROR(INDIRECT(CONCATENATE("'",C$6,"'!",ADDRESS(ROW(A143)+208,6,4))),"")</f>
        <v>0</v>
      </c>
      <c r="D144" s="382" t="str">
        <f t="shared" ref="D144:P144" ca="1" si="172">IFERROR(INDIRECT(CONCATENATE("'",D$6,"'!",ADDRESS(ROW(B143)+208,6,4))),"")</f>
        <v/>
      </c>
      <c r="E144" s="382" t="str">
        <f t="shared" ca="1" si="172"/>
        <v/>
      </c>
      <c r="F144" s="382" t="str">
        <f t="shared" ca="1" si="172"/>
        <v/>
      </c>
      <c r="G144" s="382" t="str">
        <f t="shared" ca="1" si="172"/>
        <v/>
      </c>
      <c r="H144" s="382" t="str">
        <f t="shared" ca="1" si="172"/>
        <v/>
      </c>
      <c r="I144" s="382" t="str">
        <f t="shared" ca="1" si="172"/>
        <v/>
      </c>
      <c r="J144" s="382" t="str">
        <f t="shared" ca="1" si="172"/>
        <v/>
      </c>
      <c r="K144" s="382" t="str">
        <f t="shared" ca="1" si="172"/>
        <v/>
      </c>
      <c r="L144" s="382" t="str">
        <f t="shared" ca="1" si="172"/>
        <v/>
      </c>
      <c r="M144" s="382" t="str">
        <f t="shared" ca="1" si="172"/>
        <v/>
      </c>
      <c r="N144" s="382" t="str">
        <f t="shared" ca="1" si="172"/>
        <v/>
      </c>
      <c r="O144" s="382" t="str">
        <f t="shared" ca="1" si="172"/>
        <v/>
      </c>
      <c r="P144" s="383" t="str">
        <f t="shared" ca="1" si="172"/>
        <v/>
      </c>
      <c r="Q144" s="362">
        <f t="shared" ca="1" si="121"/>
        <v>0</v>
      </c>
      <c r="R144" s="41">
        <f t="shared" ca="1" si="121"/>
        <v>0</v>
      </c>
      <c r="S144" s="41">
        <f t="shared" ca="1" si="121"/>
        <v>0</v>
      </c>
      <c r="T144" s="41">
        <f t="shared" ca="1" si="121"/>
        <v>0</v>
      </c>
      <c r="U144" s="41">
        <f t="shared" ref="U144:U150" ca="1" si="173">SUMIF($C$4:$P$4,"="&amp;U$6,$C144:$P144)</f>
        <v>0</v>
      </c>
      <c r="V144" s="41">
        <f t="shared" ca="1" si="122"/>
        <v>0</v>
      </c>
      <c r="W144" s="264">
        <f ca="1">SUM(Q144:V144)</f>
        <v>0</v>
      </c>
    </row>
    <row r="145" spans="1:23" x14ac:dyDescent="0.25">
      <c r="A145" s="280" t="s">
        <v>195</v>
      </c>
      <c r="B145" s="385" t="s">
        <v>48</v>
      </c>
      <c r="C145" s="263">
        <f t="shared" ref="C145:C150" ca="1" si="174">IFERROR(INDIRECT(CONCATENATE("'",C$6,"'!",ADDRESS(ROW(A144)+208,6,4))),"")</f>
        <v>0</v>
      </c>
      <c r="D145" s="41" t="str">
        <f t="shared" ref="D145:D150" ca="1" si="175">IFERROR(INDIRECT(CONCATENATE("'",D$6,"'!",ADDRESS(ROW(B144)+208,6,4))),"")</f>
        <v/>
      </c>
      <c r="E145" s="41" t="str">
        <f t="shared" ref="E145:E150" ca="1" si="176">IFERROR(INDIRECT(CONCATENATE("'",E$6,"'!",ADDRESS(ROW(C144)+208,6,4))),"")</f>
        <v/>
      </c>
      <c r="F145" s="41" t="str">
        <f t="shared" ref="F145:F150" ca="1" si="177">IFERROR(INDIRECT(CONCATENATE("'",F$6,"'!",ADDRESS(ROW(D144)+208,6,4))),"")</f>
        <v/>
      </c>
      <c r="G145" s="41" t="str">
        <f t="shared" ref="G145:G150" ca="1" si="178">IFERROR(INDIRECT(CONCATENATE("'",G$6,"'!",ADDRESS(ROW(E144)+208,6,4))),"")</f>
        <v/>
      </c>
      <c r="H145" s="41" t="str">
        <f t="shared" ref="H145:H150" ca="1" si="179">IFERROR(INDIRECT(CONCATENATE("'",H$6,"'!",ADDRESS(ROW(F144)+208,6,4))),"")</f>
        <v/>
      </c>
      <c r="I145" s="41" t="str">
        <f t="shared" ref="I145:I150" ca="1" si="180">IFERROR(INDIRECT(CONCATENATE("'",I$6,"'!",ADDRESS(ROW(G144)+208,6,4))),"")</f>
        <v/>
      </c>
      <c r="J145" s="41" t="str">
        <f t="shared" ref="J145:J150" ca="1" si="181">IFERROR(INDIRECT(CONCATENATE("'",J$6,"'!",ADDRESS(ROW(H144)+208,6,4))),"")</f>
        <v/>
      </c>
      <c r="K145" s="41" t="str">
        <f t="shared" ref="K145:K150" ca="1" si="182">IFERROR(INDIRECT(CONCATENATE("'",K$6,"'!",ADDRESS(ROW(I144)+208,6,4))),"")</f>
        <v/>
      </c>
      <c r="L145" s="41" t="str">
        <f t="shared" ref="L145:L150" ca="1" si="183">IFERROR(INDIRECT(CONCATENATE("'",L$6,"'!",ADDRESS(ROW(J144)+208,6,4))),"")</f>
        <v/>
      </c>
      <c r="M145" s="41" t="str">
        <f t="shared" ref="M145:M150" ca="1" si="184">IFERROR(INDIRECT(CONCATENATE("'",M$6,"'!",ADDRESS(ROW(K144)+208,6,4))),"")</f>
        <v/>
      </c>
      <c r="N145" s="41" t="str">
        <f t="shared" ref="N145:N150" ca="1" si="185">IFERROR(INDIRECT(CONCATENATE("'",N$6,"'!",ADDRESS(ROW(L144)+208,6,4))),"")</f>
        <v/>
      </c>
      <c r="O145" s="41" t="str">
        <f t="shared" ref="O145:O150" ca="1" si="186">IFERROR(INDIRECT(CONCATENATE("'",O$6,"'!",ADDRESS(ROW(M144)+208,6,4))),"")</f>
        <v/>
      </c>
      <c r="P145" s="264" t="str">
        <f t="shared" ref="P145:P150" ca="1" si="187">IFERROR(INDIRECT(CONCATENATE("'",P$6,"'!",ADDRESS(ROW(N144)+208,6,4))),"")</f>
        <v/>
      </c>
      <c r="Q145" s="362">
        <f t="shared" ca="1" si="121"/>
        <v>0</v>
      </c>
      <c r="R145" s="41">
        <f t="shared" ca="1" si="121"/>
        <v>0</v>
      </c>
      <c r="S145" s="41">
        <f t="shared" ca="1" si="121"/>
        <v>0</v>
      </c>
      <c r="T145" s="41">
        <f t="shared" ca="1" si="121"/>
        <v>0</v>
      </c>
      <c r="U145" s="41">
        <f t="shared" ca="1" si="121"/>
        <v>0</v>
      </c>
      <c r="V145" s="41">
        <f t="shared" ca="1" si="121"/>
        <v>0</v>
      </c>
      <c r="W145" s="264">
        <f t="shared" ref="W145:W150" ca="1" si="188">SUM(Q145:V145)</f>
        <v>0</v>
      </c>
    </row>
    <row r="146" spans="1:23" x14ac:dyDescent="0.25">
      <c r="A146" s="280" t="s">
        <v>196</v>
      </c>
      <c r="B146" s="385" t="s">
        <v>48</v>
      </c>
      <c r="C146" s="263">
        <f t="shared" ca="1" si="174"/>
        <v>0</v>
      </c>
      <c r="D146" s="41" t="str">
        <f t="shared" ca="1" si="175"/>
        <v/>
      </c>
      <c r="E146" s="41" t="str">
        <f t="shared" ca="1" si="176"/>
        <v/>
      </c>
      <c r="F146" s="41" t="str">
        <f t="shared" ca="1" si="177"/>
        <v/>
      </c>
      <c r="G146" s="41" t="str">
        <f t="shared" ca="1" si="178"/>
        <v/>
      </c>
      <c r="H146" s="41" t="str">
        <f t="shared" ca="1" si="179"/>
        <v/>
      </c>
      <c r="I146" s="41" t="str">
        <f t="shared" ca="1" si="180"/>
        <v/>
      </c>
      <c r="J146" s="41" t="str">
        <f t="shared" ca="1" si="181"/>
        <v/>
      </c>
      <c r="K146" s="41" t="str">
        <f t="shared" ca="1" si="182"/>
        <v/>
      </c>
      <c r="L146" s="41" t="str">
        <f t="shared" ca="1" si="183"/>
        <v/>
      </c>
      <c r="M146" s="41" t="str">
        <f t="shared" ca="1" si="184"/>
        <v/>
      </c>
      <c r="N146" s="41" t="str">
        <f t="shared" ca="1" si="185"/>
        <v/>
      </c>
      <c r="O146" s="41" t="str">
        <f t="shared" ca="1" si="186"/>
        <v/>
      </c>
      <c r="P146" s="264" t="str">
        <f t="shared" ca="1" si="187"/>
        <v/>
      </c>
      <c r="Q146" s="362">
        <f t="shared" ca="1" si="121"/>
        <v>0</v>
      </c>
      <c r="R146" s="41">
        <f t="shared" ca="1" si="121"/>
        <v>0</v>
      </c>
      <c r="S146" s="41">
        <f t="shared" ca="1" si="121"/>
        <v>0</v>
      </c>
      <c r="T146" s="41">
        <f t="shared" ca="1" si="121"/>
        <v>0</v>
      </c>
      <c r="U146" s="41">
        <f t="shared" ca="1" si="121"/>
        <v>0</v>
      </c>
      <c r="V146" s="41">
        <f t="shared" ca="1" si="121"/>
        <v>0</v>
      </c>
      <c r="W146" s="264">
        <f t="shared" ca="1" si="188"/>
        <v>0</v>
      </c>
    </row>
    <row r="147" spans="1:23" x14ac:dyDescent="0.25">
      <c r="A147" s="280" t="s">
        <v>197</v>
      </c>
      <c r="B147" s="385" t="s">
        <v>48</v>
      </c>
      <c r="C147" s="263">
        <f t="shared" ca="1" si="174"/>
        <v>0</v>
      </c>
      <c r="D147" s="41" t="str">
        <f t="shared" ca="1" si="175"/>
        <v/>
      </c>
      <c r="E147" s="41" t="str">
        <f t="shared" ca="1" si="176"/>
        <v/>
      </c>
      <c r="F147" s="41" t="str">
        <f t="shared" ca="1" si="177"/>
        <v/>
      </c>
      <c r="G147" s="41" t="str">
        <f t="shared" ca="1" si="178"/>
        <v/>
      </c>
      <c r="H147" s="41" t="str">
        <f t="shared" ca="1" si="179"/>
        <v/>
      </c>
      <c r="I147" s="41" t="str">
        <f t="shared" ca="1" si="180"/>
        <v/>
      </c>
      <c r="J147" s="41" t="str">
        <f t="shared" ca="1" si="181"/>
        <v/>
      </c>
      <c r="K147" s="41" t="str">
        <f t="shared" ca="1" si="182"/>
        <v/>
      </c>
      <c r="L147" s="41" t="str">
        <f t="shared" ca="1" si="183"/>
        <v/>
      </c>
      <c r="M147" s="41" t="str">
        <f t="shared" ca="1" si="184"/>
        <v/>
      </c>
      <c r="N147" s="41" t="str">
        <f t="shared" ca="1" si="185"/>
        <v/>
      </c>
      <c r="O147" s="41" t="str">
        <f t="shared" ca="1" si="186"/>
        <v/>
      </c>
      <c r="P147" s="264" t="str">
        <f t="shared" ca="1" si="187"/>
        <v/>
      </c>
      <c r="Q147" s="362">
        <f t="shared" ca="1" si="121"/>
        <v>0</v>
      </c>
      <c r="R147" s="41">
        <f t="shared" ca="1" si="121"/>
        <v>0</v>
      </c>
      <c r="S147" s="41">
        <f t="shared" ca="1" si="121"/>
        <v>0</v>
      </c>
      <c r="T147" s="41">
        <f t="shared" ca="1" si="121"/>
        <v>0</v>
      </c>
      <c r="U147" s="41">
        <f t="shared" ca="1" si="173"/>
        <v>0</v>
      </c>
      <c r="V147" s="41">
        <f t="shared" ca="1" si="122"/>
        <v>0</v>
      </c>
      <c r="W147" s="264">
        <f t="shared" ca="1" si="188"/>
        <v>0</v>
      </c>
    </row>
    <row r="148" spans="1:23" x14ac:dyDescent="0.25">
      <c r="A148" s="280" t="s">
        <v>198</v>
      </c>
      <c r="B148" s="385" t="s">
        <v>48</v>
      </c>
      <c r="C148" s="263">
        <f t="shared" ca="1" si="174"/>
        <v>0</v>
      </c>
      <c r="D148" s="41" t="str">
        <f t="shared" ca="1" si="175"/>
        <v/>
      </c>
      <c r="E148" s="41" t="str">
        <f t="shared" ca="1" si="176"/>
        <v/>
      </c>
      <c r="F148" s="41" t="str">
        <f t="shared" ca="1" si="177"/>
        <v/>
      </c>
      <c r="G148" s="41" t="str">
        <f t="shared" ca="1" si="178"/>
        <v/>
      </c>
      <c r="H148" s="41" t="str">
        <f t="shared" ca="1" si="179"/>
        <v/>
      </c>
      <c r="I148" s="41" t="str">
        <f t="shared" ca="1" si="180"/>
        <v/>
      </c>
      <c r="J148" s="41" t="str">
        <f t="shared" ca="1" si="181"/>
        <v/>
      </c>
      <c r="K148" s="41" t="str">
        <f t="shared" ca="1" si="182"/>
        <v/>
      </c>
      <c r="L148" s="41" t="str">
        <f t="shared" ca="1" si="183"/>
        <v/>
      </c>
      <c r="M148" s="41" t="str">
        <f t="shared" ca="1" si="184"/>
        <v/>
      </c>
      <c r="N148" s="41" t="str">
        <f t="shared" ca="1" si="185"/>
        <v/>
      </c>
      <c r="O148" s="41" t="str">
        <f t="shared" ca="1" si="186"/>
        <v/>
      </c>
      <c r="P148" s="264" t="str">
        <f t="shared" ca="1" si="187"/>
        <v/>
      </c>
      <c r="Q148" s="362">
        <f t="shared" ca="1" si="121"/>
        <v>0</v>
      </c>
      <c r="R148" s="41">
        <f t="shared" ca="1" si="121"/>
        <v>0</v>
      </c>
      <c r="S148" s="41">
        <f t="shared" ca="1" si="121"/>
        <v>0</v>
      </c>
      <c r="T148" s="41">
        <f t="shared" ca="1" si="121"/>
        <v>0</v>
      </c>
      <c r="U148" s="41">
        <f t="shared" ca="1" si="173"/>
        <v>0</v>
      </c>
      <c r="V148" s="41">
        <f t="shared" ca="1" si="122"/>
        <v>0</v>
      </c>
      <c r="W148" s="264">
        <f t="shared" ca="1" si="188"/>
        <v>0</v>
      </c>
    </row>
    <row r="149" spans="1:23" x14ac:dyDescent="0.25">
      <c r="A149" s="280" t="str">
        <f>'User Defined Factors'!A62</f>
        <v>User-defined water resource #1</v>
      </c>
      <c r="B149" s="385" t="str">
        <f>'User Defined Factors'!B62</f>
        <v>gal x 1000</v>
      </c>
      <c r="C149" s="263">
        <f t="shared" ca="1" si="174"/>
        <v>0</v>
      </c>
      <c r="D149" s="41" t="str">
        <f t="shared" ca="1" si="175"/>
        <v/>
      </c>
      <c r="E149" s="41" t="str">
        <f t="shared" ca="1" si="176"/>
        <v/>
      </c>
      <c r="F149" s="41" t="str">
        <f t="shared" ca="1" si="177"/>
        <v/>
      </c>
      <c r="G149" s="41" t="str">
        <f t="shared" ca="1" si="178"/>
        <v/>
      </c>
      <c r="H149" s="41" t="str">
        <f t="shared" ca="1" si="179"/>
        <v/>
      </c>
      <c r="I149" s="41" t="str">
        <f t="shared" ca="1" si="180"/>
        <v/>
      </c>
      <c r="J149" s="41" t="str">
        <f t="shared" ca="1" si="181"/>
        <v/>
      </c>
      <c r="K149" s="41" t="str">
        <f t="shared" ca="1" si="182"/>
        <v/>
      </c>
      <c r="L149" s="41" t="str">
        <f t="shared" ca="1" si="183"/>
        <v/>
      </c>
      <c r="M149" s="41" t="str">
        <f t="shared" ca="1" si="184"/>
        <v/>
      </c>
      <c r="N149" s="41" t="str">
        <f t="shared" ca="1" si="185"/>
        <v/>
      </c>
      <c r="O149" s="41" t="str">
        <f t="shared" ca="1" si="186"/>
        <v/>
      </c>
      <c r="P149" s="264" t="str">
        <f t="shared" ca="1" si="187"/>
        <v/>
      </c>
      <c r="Q149" s="362">
        <f t="shared" ca="1" si="121"/>
        <v>0</v>
      </c>
      <c r="R149" s="41">
        <f t="shared" ca="1" si="121"/>
        <v>0</v>
      </c>
      <c r="S149" s="41">
        <f t="shared" ca="1" si="121"/>
        <v>0</v>
      </c>
      <c r="T149" s="41">
        <f t="shared" ca="1" si="121"/>
        <v>0</v>
      </c>
      <c r="U149" s="41">
        <f t="shared" ca="1" si="173"/>
        <v>0</v>
      </c>
      <c r="V149" s="41">
        <f t="shared" ca="1" si="122"/>
        <v>0</v>
      </c>
      <c r="W149" s="264">
        <f t="shared" ca="1" si="188"/>
        <v>0</v>
      </c>
    </row>
    <row r="150" spans="1:23" ht="15.75" thickBot="1" x14ac:dyDescent="0.3">
      <c r="A150" s="280" t="str">
        <f>'User Defined Factors'!A63</f>
        <v>User-defined water resource #2</v>
      </c>
      <c r="B150" s="385" t="str">
        <f>'User Defined Factors'!B63</f>
        <v>gal x 1000</v>
      </c>
      <c r="C150" s="268">
        <f t="shared" ca="1" si="174"/>
        <v>0</v>
      </c>
      <c r="D150" s="269" t="str">
        <f t="shared" ca="1" si="175"/>
        <v/>
      </c>
      <c r="E150" s="269" t="str">
        <f t="shared" ca="1" si="176"/>
        <v/>
      </c>
      <c r="F150" s="269" t="str">
        <f t="shared" ca="1" si="177"/>
        <v/>
      </c>
      <c r="G150" s="269" t="str">
        <f t="shared" ca="1" si="178"/>
        <v/>
      </c>
      <c r="H150" s="269" t="str">
        <f t="shared" ca="1" si="179"/>
        <v/>
      </c>
      <c r="I150" s="269" t="str">
        <f t="shared" ca="1" si="180"/>
        <v/>
      </c>
      <c r="J150" s="269" t="str">
        <f t="shared" ca="1" si="181"/>
        <v/>
      </c>
      <c r="K150" s="269" t="str">
        <f t="shared" ca="1" si="182"/>
        <v/>
      </c>
      <c r="L150" s="269" t="str">
        <f t="shared" ca="1" si="183"/>
        <v/>
      </c>
      <c r="M150" s="269" t="str">
        <f t="shared" ca="1" si="184"/>
        <v/>
      </c>
      <c r="N150" s="269" t="str">
        <f t="shared" ca="1" si="185"/>
        <v/>
      </c>
      <c r="O150" s="269" t="str">
        <f t="shared" ca="1" si="186"/>
        <v/>
      </c>
      <c r="P150" s="270" t="str">
        <f t="shared" ca="1" si="187"/>
        <v/>
      </c>
      <c r="Q150" s="362">
        <f t="shared" ca="1" si="121"/>
        <v>0</v>
      </c>
      <c r="R150" s="41">
        <f t="shared" ca="1" si="121"/>
        <v>0</v>
      </c>
      <c r="S150" s="41">
        <f t="shared" ca="1" si="121"/>
        <v>0</v>
      </c>
      <c r="T150" s="41">
        <f t="shared" ca="1" si="121"/>
        <v>0</v>
      </c>
      <c r="U150" s="41">
        <f t="shared" ca="1" si="173"/>
        <v>0</v>
      </c>
      <c r="V150" s="41">
        <f t="shared" ca="1" si="122"/>
        <v>0</v>
      </c>
      <c r="W150" s="264">
        <f t="shared" ca="1" si="188"/>
        <v>0</v>
      </c>
    </row>
    <row r="151" spans="1:23" x14ac:dyDescent="0.25">
      <c r="A151" s="280"/>
      <c r="B151" s="410"/>
      <c r="C151" s="379"/>
      <c r="D151" s="380"/>
      <c r="E151" s="380"/>
      <c r="F151" s="380"/>
      <c r="G151" s="380"/>
      <c r="H151" s="380"/>
      <c r="I151" s="380"/>
      <c r="J151" s="380"/>
      <c r="K151" s="380"/>
      <c r="L151" s="380"/>
      <c r="M151" s="380"/>
      <c r="N151" s="380"/>
      <c r="O151" s="380"/>
      <c r="P151" s="422"/>
      <c r="Q151" s="262"/>
      <c r="R151" s="51"/>
      <c r="S151" s="51"/>
      <c r="T151" s="51"/>
      <c r="U151" s="51"/>
      <c r="V151" s="51"/>
      <c r="W151" s="265"/>
    </row>
    <row r="152" spans="1:23" ht="15.75" thickBot="1" x14ac:dyDescent="0.3">
      <c r="A152" s="286" t="s">
        <v>202</v>
      </c>
      <c r="B152" s="410"/>
      <c r="C152" s="377"/>
      <c r="D152" s="378"/>
      <c r="E152" s="378"/>
      <c r="F152" s="378"/>
      <c r="G152" s="378"/>
      <c r="H152" s="378"/>
      <c r="I152" s="378"/>
      <c r="J152" s="378"/>
      <c r="K152" s="378"/>
      <c r="L152" s="378"/>
      <c r="M152" s="378"/>
      <c r="N152" s="378"/>
      <c r="O152" s="378"/>
      <c r="P152" s="421"/>
      <c r="Q152" s="262"/>
      <c r="R152" s="51"/>
      <c r="S152" s="51"/>
      <c r="T152" s="51"/>
      <c r="U152" s="51"/>
      <c r="V152" s="51"/>
      <c r="W152" s="265"/>
    </row>
    <row r="153" spans="1:23" x14ac:dyDescent="0.25">
      <c r="A153" s="280" t="s">
        <v>728</v>
      </c>
      <c r="B153" s="385" t="s">
        <v>3</v>
      </c>
      <c r="C153" s="381">
        <f ca="1">IFERROR(INDIRECT(CONCATENATE("'",C$6,"'!",ADDRESS(ROW(A152)+208,6,4))),"")</f>
        <v>0</v>
      </c>
      <c r="D153" s="382" t="str">
        <f t="shared" ref="D153:P153" ca="1" si="189">IFERROR(INDIRECT(CONCATENATE("'",D$6,"'!",ADDRESS(ROW(B152)+208,6,4))),"")</f>
        <v/>
      </c>
      <c r="E153" s="382" t="str">
        <f t="shared" ca="1" si="189"/>
        <v/>
      </c>
      <c r="F153" s="382" t="str">
        <f t="shared" ca="1" si="189"/>
        <v/>
      </c>
      <c r="G153" s="382" t="str">
        <f t="shared" ca="1" si="189"/>
        <v/>
      </c>
      <c r="H153" s="382" t="str">
        <f t="shared" ca="1" si="189"/>
        <v/>
      </c>
      <c r="I153" s="382" t="str">
        <f t="shared" ca="1" si="189"/>
        <v/>
      </c>
      <c r="J153" s="382" t="str">
        <f t="shared" ca="1" si="189"/>
        <v/>
      </c>
      <c r="K153" s="382" t="str">
        <f t="shared" ca="1" si="189"/>
        <v/>
      </c>
      <c r="L153" s="382" t="str">
        <f t="shared" ca="1" si="189"/>
        <v/>
      </c>
      <c r="M153" s="382" t="str">
        <f t="shared" ca="1" si="189"/>
        <v/>
      </c>
      <c r="N153" s="382" t="str">
        <f t="shared" ca="1" si="189"/>
        <v/>
      </c>
      <c r="O153" s="382" t="str">
        <f t="shared" ca="1" si="189"/>
        <v/>
      </c>
      <c r="P153" s="383" t="str">
        <f t="shared" ca="1" si="189"/>
        <v/>
      </c>
      <c r="Q153" s="362">
        <f t="shared" ref="Q153:V153" ca="1" si="190">SUMIF($C$4:$P$4,"="&amp;Q$6,$C153:$P153)</f>
        <v>0</v>
      </c>
      <c r="R153" s="41">
        <f t="shared" ca="1" si="190"/>
        <v>0</v>
      </c>
      <c r="S153" s="41">
        <f t="shared" ca="1" si="190"/>
        <v>0</v>
      </c>
      <c r="T153" s="41">
        <f t="shared" ca="1" si="190"/>
        <v>0</v>
      </c>
      <c r="U153" s="41">
        <f t="shared" ca="1" si="190"/>
        <v>0</v>
      </c>
      <c r="V153" s="41">
        <f t="shared" ca="1" si="190"/>
        <v>0</v>
      </c>
      <c r="W153" s="264">
        <f ca="1">SUM(Q153:V153)</f>
        <v>0</v>
      </c>
    </row>
    <row r="154" spans="1:23" x14ac:dyDescent="0.25">
      <c r="A154" s="280" t="s">
        <v>345</v>
      </c>
      <c r="B154" s="386" t="s">
        <v>48</v>
      </c>
      <c r="C154" s="263">
        <f t="shared" ref="C154:C158" ca="1" si="191">IFERROR(INDIRECT(CONCATENATE("'",C$6,"'!",ADDRESS(ROW(A153)+208,6,4))),"")</f>
        <v>0</v>
      </c>
      <c r="D154" s="41" t="str">
        <f t="shared" ref="D154:D158" ca="1" si="192">IFERROR(INDIRECT(CONCATENATE("'",D$6,"'!",ADDRESS(ROW(B153)+208,6,4))),"")</f>
        <v/>
      </c>
      <c r="E154" s="41" t="str">
        <f t="shared" ref="E154:E158" ca="1" si="193">IFERROR(INDIRECT(CONCATENATE("'",E$6,"'!",ADDRESS(ROW(C153)+208,6,4))),"")</f>
        <v/>
      </c>
      <c r="F154" s="41" t="str">
        <f t="shared" ref="F154:F158" ca="1" si="194">IFERROR(INDIRECT(CONCATENATE("'",F$6,"'!",ADDRESS(ROW(D153)+208,6,4))),"")</f>
        <v/>
      </c>
      <c r="G154" s="41" t="str">
        <f t="shared" ref="G154:G158" ca="1" si="195">IFERROR(INDIRECT(CONCATENATE("'",G$6,"'!",ADDRESS(ROW(E153)+208,6,4))),"")</f>
        <v/>
      </c>
      <c r="H154" s="41" t="str">
        <f t="shared" ref="H154:H158" ca="1" si="196">IFERROR(INDIRECT(CONCATENATE("'",H$6,"'!",ADDRESS(ROW(F153)+208,6,4))),"")</f>
        <v/>
      </c>
      <c r="I154" s="41" t="str">
        <f t="shared" ref="I154:I158" ca="1" si="197">IFERROR(INDIRECT(CONCATENATE("'",I$6,"'!",ADDRESS(ROW(G153)+208,6,4))),"")</f>
        <v/>
      </c>
      <c r="J154" s="41" t="str">
        <f t="shared" ref="J154:J158" ca="1" si="198">IFERROR(INDIRECT(CONCATENATE("'",J$6,"'!",ADDRESS(ROW(H153)+208,6,4))),"")</f>
        <v/>
      </c>
      <c r="K154" s="41" t="str">
        <f t="shared" ref="K154:K158" ca="1" si="199">IFERROR(INDIRECT(CONCATENATE("'",K$6,"'!",ADDRESS(ROW(I153)+208,6,4))),"")</f>
        <v/>
      </c>
      <c r="L154" s="41" t="str">
        <f t="shared" ref="L154:L158" ca="1" si="200">IFERROR(INDIRECT(CONCATENATE("'",L$6,"'!",ADDRESS(ROW(J153)+208,6,4))),"")</f>
        <v/>
      </c>
      <c r="M154" s="41" t="str">
        <f t="shared" ref="M154:M158" ca="1" si="201">IFERROR(INDIRECT(CONCATENATE("'",M$6,"'!",ADDRESS(ROW(K153)+208,6,4))),"")</f>
        <v/>
      </c>
      <c r="N154" s="41" t="str">
        <f t="shared" ref="N154:N158" ca="1" si="202">IFERROR(INDIRECT(CONCATENATE("'",N$6,"'!",ADDRESS(ROW(L153)+208,6,4))),"")</f>
        <v/>
      </c>
      <c r="O154" s="41" t="str">
        <f t="shared" ref="O154:O158" ca="1" si="203">IFERROR(INDIRECT(CONCATENATE("'",O$6,"'!",ADDRESS(ROW(M153)+208,6,4))),"")</f>
        <v/>
      </c>
      <c r="P154" s="264" t="str">
        <f t="shared" ref="P154:P158" ca="1" si="204">IFERROR(INDIRECT(CONCATENATE("'",P$6,"'!",ADDRESS(ROW(N153)+208,6,4))),"")</f>
        <v/>
      </c>
      <c r="Q154" s="362">
        <f t="shared" ref="Q154:V157" ca="1" si="205">SUMIF($C$4:$P$4,"="&amp;Q$6,$C154:$P154)</f>
        <v>0</v>
      </c>
      <c r="R154" s="41">
        <f t="shared" ca="1" si="205"/>
        <v>0</v>
      </c>
      <c r="S154" s="41">
        <f t="shared" ca="1" si="205"/>
        <v>0</v>
      </c>
      <c r="T154" s="41">
        <f t="shared" ca="1" si="205"/>
        <v>0</v>
      </c>
      <c r="U154" s="41">
        <f t="shared" ca="1" si="205"/>
        <v>0</v>
      </c>
      <c r="V154" s="41">
        <f t="shared" ref="V154:V156" ca="1" si="206">SUMIF($C$4:$P$4,"="&amp;V$6,$C154:$P154)</f>
        <v>0</v>
      </c>
      <c r="W154" s="264">
        <f ca="1">SUM(Q154:V154)</f>
        <v>0</v>
      </c>
    </row>
    <row r="155" spans="1:23" x14ac:dyDescent="0.25">
      <c r="A155" s="280" t="s">
        <v>364</v>
      </c>
      <c r="B155" s="386" t="s">
        <v>4</v>
      </c>
      <c r="C155" s="263">
        <f t="shared" ca="1" si="191"/>
        <v>0</v>
      </c>
      <c r="D155" s="41" t="str">
        <f t="shared" ca="1" si="192"/>
        <v/>
      </c>
      <c r="E155" s="41" t="str">
        <f t="shared" ca="1" si="193"/>
        <v/>
      </c>
      <c r="F155" s="41" t="str">
        <f t="shared" ca="1" si="194"/>
        <v/>
      </c>
      <c r="G155" s="41" t="str">
        <f t="shared" ca="1" si="195"/>
        <v/>
      </c>
      <c r="H155" s="41" t="str">
        <f t="shared" ca="1" si="196"/>
        <v/>
      </c>
      <c r="I155" s="41" t="str">
        <f t="shared" ca="1" si="197"/>
        <v/>
      </c>
      <c r="J155" s="41" t="str">
        <f t="shared" ca="1" si="198"/>
        <v/>
      </c>
      <c r="K155" s="41" t="str">
        <f t="shared" ca="1" si="199"/>
        <v/>
      </c>
      <c r="L155" s="41" t="str">
        <f t="shared" ca="1" si="200"/>
        <v/>
      </c>
      <c r="M155" s="41" t="str">
        <f t="shared" ca="1" si="201"/>
        <v/>
      </c>
      <c r="N155" s="41" t="str">
        <f t="shared" ca="1" si="202"/>
        <v/>
      </c>
      <c r="O155" s="41" t="str">
        <f t="shared" ca="1" si="203"/>
        <v/>
      </c>
      <c r="P155" s="264" t="str">
        <f t="shared" ca="1" si="204"/>
        <v/>
      </c>
      <c r="Q155" s="362">
        <f t="shared" ca="1" si="205"/>
        <v>0</v>
      </c>
      <c r="R155" s="41">
        <f t="shared" ca="1" si="205"/>
        <v>0</v>
      </c>
      <c r="S155" s="41">
        <f t="shared" ca="1" si="205"/>
        <v>0</v>
      </c>
      <c r="T155" s="41">
        <f t="shared" ca="1" si="205"/>
        <v>0</v>
      </c>
      <c r="U155" s="41">
        <f t="shared" ca="1" si="205"/>
        <v>0</v>
      </c>
      <c r="V155" s="41">
        <f t="shared" ca="1" si="206"/>
        <v>0</v>
      </c>
      <c r="W155" s="264">
        <f t="shared" ref="W155:W162" ca="1" si="207">SUM(Q155:V155)</f>
        <v>0</v>
      </c>
    </row>
    <row r="156" spans="1:23" x14ac:dyDescent="0.25">
      <c r="A156" s="280" t="s">
        <v>365</v>
      </c>
      <c r="B156" s="386" t="s">
        <v>4</v>
      </c>
      <c r="C156" s="263">
        <f t="shared" ca="1" si="191"/>
        <v>0</v>
      </c>
      <c r="D156" s="41" t="str">
        <f t="shared" ca="1" si="192"/>
        <v/>
      </c>
      <c r="E156" s="41" t="str">
        <f t="shared" ca="1" si="193"/>
        <v/>
      </c>
      <c r="F156" s="41" t="str">
        <f t="shared" ca="1" si="194"/>
        <v/>
      </c>
      <c r="G156" s="41" t="str">
        <f t="shared" ca="1" si="195"/>
        <v/>
      </c>
      <c r="H156" s="41" t="str">
        <f t="shared" ca="1" si="196"/>
        <v/>
      </c>
      <c r="I156" s="41" t="str">
        <f t="shared" ca="1" si="197"/>
        <v/>
      </c>
      <c r="J156" s="41" t="str">
        <f t="shared" ca="1" si="198"/>
        <v/>
      </c>
      <c r="K156" s="41" t="str">
        <f t="shared" ca="1" si="199"/>
        <v/>
      </c>
      <c r="L156" s="41" t="str">
        <f t="shared" ca="1" si="200"/>
        <v/>
      </c>
      <c r="M156" s="41" t="str">
        <f t="shared" ca="1" si="201"/>
        <v/>
      </c>
      <c r="N156" s="41" t="str">
        <f t="shared" ca="1" si="202"/>
        <v/>
      </c>
      <c r="O156" s="41" t="str">
        <f t="shared" ca="1" si="203"/>
        <v/>
      </c>
      <c r="P156" s="264" t="str">
        <f t="shared" ca="1" si="204"/>
        <v/>
      </c>
      <c r="Q156" s="362">
        <f t="shared" ca="1" si="205"/>
        <v>0</v>
      </c>
      <c r="R156" s="41">
        <f t="shared" ca="1" si="205"/>
        <v>0</v>
      </c>
      <c r="S156" s="41">
        <f t="shared" ca="1" si="205"/>
        <v>0</v>
      </c>
      <c r="T156" s="41">
        <f t="shared" ca="1" si="205"/>
        <v>0</v>
      </c>
      <c r="U156" s="41">
        <f t="shared" ca="1" si="205"/>
        <v>0</v>
      </c>
      <c r="V156" s="41">
        <f t="shared" ca="1" si="206"/>
        <v>0</v>
      </c>
      <c r="W156" s="264">
        <f t="shared" ca="1" si="207"/>
        <v>0</v>
      </c>
    </row>
    <row r="157" spans="1:23" x14ac:dyDescent="0.25">
      <c r="A157" s="280" t="s">
        <v>200</v>
      </c>
      <c r="B157" s="386" t="s">
        <v>4</v>
      </c>
      <c r="C157" s="263">
        <f t="shared" ca="1" si="191"/>
        <v>0</v>
      </c>
      <c r="D157" s="41" t="str">
        <f t="shared" ca="1" si="192"/>
        <v/>
      </c>
      <c r="E157" s="41" t="str">
        <f t="shared" ca="1" si="193"/>
        <v/>
      </c>
      <c r="F157" s="41" t="str">
        <f t="shared" ca="1" si="194"/>
        <v/>
      </c>
      <c r="G157" s="41" t="str">
        <f t="shared" ca="1" si="195"/>
        <v/>
      </c>
      <c r="H157" s="41" t="str">
        <f t="shared" ca="1" si="196"/>
        <v/>
      </c>
      <c r="I157" s="41" t="str">
        <f t="shared" ca="1" si="197"/>
        <v/>
      </c>
      <c r="J157" s="41" t="str">
        <f t="shared" ca="1" si="198"/>
        <v/>
      </c>
      <c r="K157" s="41" t="str">
        <f t="shared" ca="1" si="199"/>
        <v/>
      </c>
      <c r="L157" s="41" t="str">
        <f t="shared" ca="1" si="200"/>
        <v/>
      </c>
      <c r="M157" s="41" t="str">
        <f t="shared" ca="1" si="201"/>
        <v/>
      </c>
      <c r="N157" s="41" t="str">
        <f t="shared" ca="1" si="202"/>
        <v/>
      </c>
      <c r="O157" s="41" t="str">
        <f t="shared" ca="1" si="203"/>
        <v/>
      </c>
      <c r="P157" s="264" t="str">
        <f t="shared" ca="1" si="204"/>
        <v/>
      </c>
      <c r="Q157" s="362">
        <f t="shared" ca="1" si="205"/>
        <v>0</v>
      </c>
      <c r="R157" s="41">
        <f t="shared" ca="1" si="205"/>
        <v>0</v>
      </c>
      <c r="S157" s="41">
        <f t="shared" ca="1" si="205"/>
        <v>0</v>
      </c>
      <c r="T157" s="41">
        <f t="shared" ca="1" si="205"/>
        <v>0</v>
      </c>
      <c r="U157" s="41">
        <f t="shared" ca="1" si="205"/>
        <v>0</v>
      </c>
      <c r="V157" s="41">
        <f t="shared" ca="1" si="205"/>
        <v>0</v>
      </c>
      <c r="W157" s="264">
        <f t="shared" ca="1" si="207"/>
        <v>0</v>
      </c>
    </row>
    <row r="158" spans="1:23" ht="15.75" thickBot="1" x14ac:dyDescent="0.3">
      <c r="A158" s="280" t="s">
        <v>201</v>
      </c>
      <c r="B158" s="386" t="s">
        <v>4</v>
      </c>
      <c r="C158" s="268">
        <f t="shared" ca="1" si="191"/>
        <v>0</v>
      </c>
      <c r="D158" s="269" t="str">
        <f t="shared" ca="1" si="192"/>
        <v/>
      </c>
      <c r="E158" s="269" t="str">
        <f t="shared" ca="1" si="193"/>
        <v/>
      </c>
      <c r="F158" s="269" t="str">
        <f t="shared" ca="1" si="194"/>
        <v/>
      </c>
      <c r="G158" s="269" t="str">
        <f t="shared" ca="1" si="195"/>
        <v/>
      </c>
      <c r="H158" s="269" t="str">
        <f t="shared" ca="1" si="196"/>
        <v/>
      </c>
      <c r="I158" s="269" t="str">
        <f t="shared" ca="1" si="197"/>
        <v/>
      </c>
      <c r="J158" s="269" t="str">
        <f t="shared" ca="1" si="198"/>
        <v/>
      </c>
      <c r="K158" s="269" t="str">
        <f t="shared" ca="1" si="199"/>
        <v/>
      </c>
      <c r="L158" s="269" t="str">
        <f t="shared" ca="1" si="200"/>
        <v/>
      </c>
      <c r="M158" s="269" t="str">
        <f t="shared" ca="1" si="201"/>
        <v/>
      </c>
      <c r="N158" s="269" t="str">
        <f t="shared" ca="1" si="202"/>
        <v/>
      </c>
      <c r="O158" s="269" t="str">
        <f t="shared" ca="1" si="203"/>
        <v/>
      </c>
      <c r="P158" s="270" t="str">
        <f t="shared" ca="1" si="204"/>
        <v/>
      </c>
      <c r="Q158" s="362">
        <f t="shared" ref="Q158:V173" ca="1" si="208">SUMIF($C$4:$P$4,"="&amp;Q$6,$C158:$P158)</f>
        <v>0</v>
      </c>
      <c r="R158" s="41">
        <f t="shared" ca="1" si="208"/>
        <v>0</v>
      </c>
      <c r="S158" s="41">
        <f t="shared" ca="1" si="208"/>
        <v>0</v>
      </c>
      <c r="T158" s="41">
        <f t="shared" ca="1" si="208"/>
        <v>0</v>
      </c>
      <c r="U158" s="41">
        <f t="shared" ca="1" si="208"/>
        <v>0</v>
      </c>
      <c r="V158" s="41">
        <f t="shared" ca="1" si="208"/>
        <v>0</v>
      </c>
      <c r="W158" s="264">
        <f t="shared" ca="1" si="207"/>
        <v>0</v>
      </c>
    </row>
    <row r="159" spans="1:23" x14ac:dyDescent="0.25">
      <c r="A159" s="280"/>
      <c r="B159" s="386"/>
      <c r="C159" s="379"/>
      <c r="D159" s="380"/>
      <c r="E159" s="380"/>
      <c r="F159" s="380"/>
      <c r="G159" s="380"/>
      <c r="H159" s="380"/>
      <c r="I159" s="380"/>
      <c r="J159" s="380"/>
      <c r="K159" s="380"/>
      <c r="L159" s="380"/>
      <c r="M159" s="380"/>
      <c r="N159" s="380"/>
      <c r="O159" s="380"/>
      <c r="P159" s="422"/>
      <c r="Q159" s="262"/>
      <c r="R159" s="51"/>
      <c r="S159" s="51"/>
      <c r="T159" s="51"/>
      <c r="U159" s="51"/>
      <c r="V159" s="51"/>
      <c r="W159" s="265"/>
    </row>
    <row r="160" spans="1:23" ht="15.75" thickBot="1" x14ac:dyDescent="0.3">
      <c r="A160" s="281" t="s">
        <v>223</v>
      </c>
      <c r="B160" s="386"/>
      <c r="C160" s="377"/>
      <c r="D160" s="378"/>
      <c r="E160" s="378"/>
      <c r="F160" s="378"/>
      <c r="G160" s="378"/>
      <c r="H160" s="378"/>
      <c r="I160" s="378"/>
      <c r="J160" s="378"/>
      <c r="K160" s="378"/>
      <c r="L160" s="378"/>
      <c r="M160" s="378"/>
      <c r="N160" s="378"/>
      <c r="O160" s="378"/>
      <c r="P160" s="421"/>
      <c r="Q160" s="262"/>
      <c r="R160" s="51"/>
      <c r="S160" s="51"/>
      <c r="T160" s="51"/>
      <c r="U160" s="51"/>
      <c r="V160" s="51"/>
      <c r="W160" s="265"/>
    </row>
    <row r="161" spans="1:23" x14ac:dyDescent="0.25">
      <c r="A161" s="280" t="s">
        <v>218</v>
      </c>
      <c r="B161" s="386" t="s">
        <v>4</v>
      </c>
      <c r="C161" s="381">
        <f ca="1">IFERROR(INDIRECT(CONCATENATE("'",C$6,"'!",ADDRESS(ROW(A159)+208,6,4))),"")</f>
        <v>0</v>
      </c>
      <c r="D161" s="382" t="str">
        <f t="shared" ref="D161:P161" ca="1" si="209">IFERROR(INDIRECT(CONCATENATE("'",D$6,"'!",ADDRESS(ROW(B159)+208,6,4))),"")</f>
        <v/>
      </c>
      <c r="E161" s="382" t="str">
        <f t="shared" ca="1" si="209"/>
        <v/>
      </c>
      <c r="F161" s="382" t="str">
        <f t="shared" ca="1" si="209"/>
        <v/>
      </c>
      <c r="G161" s="382" t="str">
        <f t="shared" ca="1" si="209"/>
        <v/>
      </c>
      <c r="H161" s="382" t="str">
        <f t="shared" ca="1" si="209"/>
        <v/>
      </c>
      <c r="I161" s="382" t="str">
        <f t="shared" ca="1" si="209"/>
        <v/>
      </c>
      <c r="J161" s="382" t="str">
        <f t="shared" ca="1" si="209"/>
        <v/>
      </c>
      <c r="K161" s="382" t="str">
        <f t="shared" ca="1" si="209"/>
        <v/>
      </c>
      <c r="L161" s="382" t="str">
        <f t="shared" ca="1" si="209"/>
        <v/>
      </c>
      <c r="M161" s="382" t="str">
        <f t="shared" ca="1" si="209"/>
        <v/>
      </c>
      <c r="N161" s="382" t="str">
        <f t="shared" ca="1" si="209"/>
        <v/>
      </c>
      <c r="O161" s="382" t="str">
        <f t="shared" ca="1" si="209"/>
        <v/>
      </c>
      <c r="P161" s="383" t="str">
        <f t="shared" ca="1" si="209"/>
        <v/>
      </c>
      <c r="Q161" s="362">
        <f t="shared" ca="1" si="208"/>
        <v>0</v>
      </c>
      <c r="R161" s="41">
        <f t="shared" ca="1" si="208"/>
        <v>0</v>
      </c>
      <c r="S161" s="41">
        <f t="shared" ca="1" si="208"/>
        <v>0</v>
      </c>
      <c r="T161" s="41">
        <f t="shared" ca="1" si="208"/>
        <v>0</v>
      </c>
      <c r="U161" s="41">
        <f t="shared" ca="1" si="208"/>
        <v>0</v>
      </c>
      <c r="V161" s="41">
        <f t="shared" ca="1" si="208"/>
        <v>0</v>
      </c>
      <c r="W161" s="264">
        <f t="shared" ca="1" si="207"/>
        <v>0</v>
      </c>
    </row>
    <row r="162" spans="1:23" x14ac:dyDescent="0.25">
      <c r="A162" s="280" t="s">
        <v>219</v>
      </c>
      <c r="B162" s="386" t="s">
        <v>4</v>
      </c>
      <c r="C162" s="263">
        <f t="shared" ref="C162:C164" ca="1" si="210">IFERROR(INDIRECT(CONCATENATE("'",C$6,"'!",ADDRESS(ROW(A160)+208,6,4))),"")</f>
        <v>0</v>
      </c>
      <c r="D162" s="41" t="str">
        <f t="shared" ref="D162:D164" ca="1" si="211">IFERROR(INDIRECT(CONCATENATE("'",D$6,"'!",ADDRESS(ROW(B160)+208,6,4))),"")</f>
        <v/>
      </c>
      <c r="E162" s="41" t="str">
        <f t="shared" ref="E162:E164" ca="1" si="212">IFERROR(INDIRECT(CONCATENATE("'",E$6,"'!",ADDRESS(ROW(C160)+208,6,4))),"")</f>
        <v/>
      </c>
      <c r="F162" s="41" t="str">
        <f t="shared" ref="F162:F164" ca="1" si="213">IFERROR(INDIRECT(CONCATENATE("'",F$6,"'!",ADDRESS(ROW(D160)+208,6,4))),"")</f>
        <v/>
      </c>
      <c r="G162" s="41" t="str">
        <f t="shared" ref="G162:G164" ca="1" si="214">IFERROR(INDIRECT(CONCATENATE("'",G$6,"'!",ADDRESS(ROW(E160)+208,6,4))),"")</f>
        <v/>
      </c>
      <c r="H162" s="41" t="str">
        <f t="shared" ref="H162:H164" ca="1" si="215">IFERROR(INDIRECT(CONCATENATE("'",H$6,"'!",ADDRESS(ROW(F160)+208,6,4))),"")</f>
        <v/>
      </c>
      <c r="I162" s="41" t="str">
        <f t="shared" ref="I162:I164" ca="1" si="216">IFERROR(INDIRECT(CONCATENATE("'",I$6,"'!",ADDRESS(ROW(G160)+208,6,4))),"")</f>
        <v/>
      </c>
      <c r="J162" s="41" t="str">
        <f t="shared" ref="J162:J164" ca="1" si="217">IFERROR(INDIRECT(CONCATENATE("'",J$6,"'!",ADDRESS(ROW(H160)+208,6,4))),"")</f>
        <v/>
      </c>
      <c r="K162" s="41" t="str">
        <f t="shared" ref="K162:K164" ca="1" si="218">IFERROR(INDIRECT(CONCATENATE("'",K$6,"'!",ADDRESS(ROW(I160)+208,6,4))),"")</f>
        <v/>
      </c>
      <c r="L162" s="41" t="str">
        <f t="shared" ref="L162:L164" ca="1" si="219">IFERROR(INDIRECT(CONCATENATE("'",L$6,"'!",ADDRESS(ROW(J160)+208,6,4))),"")</f>
        <v/>
      </c>
      <c r="M162" s="41" t="str">
        <f t="shared" ref="M162:M164" ca="1" si="220">IFERROR(INDIRECT(CONCATENATE("'",M$6,"'!",ADDRESS(ROW(K160)+208,6,4))),"")</f>
        <v/>
      </c>
      <c r="N162" s="41" t="str">
        <f t="shared" ref="N162:N164" ca="1" si="221">IFERROR(INDIRECT(CONCATENATE("'",N$6,"'!",ADDRESS(ROW(L160)+208,6,4))),"")</f>
        <v/>
      </c>
      <c r="O162" s="41" t="str">
        <f t="shared" ref="O162:O164" ca="1" si="222">IFERROR(INDIRECT(CONCATENATE("'",O$6,"'!",ADDRESS(ROW(M160)+208,6,4))),"")</f>
        <v/>
      </c>
      <c r="P162" s="264" t="str">
        <f t="shared" ref="P162:P164" ca="1" si="223">IFERROR(INDIRECT(CONCATENATE("'",P$6,"'!",ADDRESS(ROW(N160)+208,6,4))),"")</f>
        <v/>
      </c>
      <c r="Q162" s="362">
        <f t="shared" ca="1" si="208"/>
        <v>0</v>
      </c>
      <c r="R162" s="41">
        <f t="shared" ca="1" si="208"/>
        <v>0</v>
      </c>
      <c r="S162" s="41">
        <f t="shared" ca="1" si="208"/>
        <v>0</v>
      </c>
      <c r="T162" s="41">
        <f t="shared" ca="1" si="208"/>
        <v>0</v>
      </c>
      <c r="U162" s="41">
        <f t="shared" ca="1" si="208"/>
        <v>0</v>
      </c>
      <c r="V162" s="41">
        <f t="shared" ca="1" si="208"/>
        <v>0</v>
      </c>
      <c r="W162" s="264">
        <f t="shared" ca="1" si="207"/>
        <v>0</v>
      </c>
    </row>
    <row r="163" spans="1:23" x14ac:dyDescent="0.25">
      <c r="A163" s="280" t="s">
        <v>220</v>
      </c>
      <c r="B163" s="386" t="s">
        <v>4</v>
      </c>
      <c r="C163" s="263">
        <f t="shared" ca="1" si="210"/>
        <v>0</v>
      </c>
      <c r="D163" s="41" t="str">
        <f t="shared" ca="1" si="211"/>
        <v/>
      </c>
      <c r="E163" s="41" t="str">
        <f t="shared" ca="1" si="212"/>
        <v/>
      </c>
      <c r="F163" s="41" t="str">
        <f t="shared" ca="1" si="213"/>
        <v/>
      </c>
      <c r="G163" s="41" t="str">
        <f t="shared" ca="1" si="214"/>
        <v/>
      </c>
      <c r="H163" s="41" t="str">
        <f t="shared" ca="1" si="215"/>
        <v/>
      </c>
      <c r="I163" s="41" t="str">
        <f t="shared" ca="1" si="216"/>
        <v/>
      </c>
      <c r="J163" s="41" t="str">
        <f t="shared" ca="1" si="217"/>
        <v/>
      </c>
      <c r="K163" s="41" t="str">
        <f t="shared" ca="1" si="218"/>
        <v/>
      </c>
      <c r="L163" s="41" t="str">
        <f t="shared" ca="1" si="219"/>
        <v/>
      </c>
      <c r="M163" s="41" t="str">
        <f t="shared" ca="1" si="220"/>
        <v/>
      </c>
      <c r="N163" s="41" t="str">
        <f t="shared" ca="1" si="221"/>
        <v/>
      </c>
      <c r="O163" s="41" t="str">
        <f t="shared" ca="1" si="222"/>
        <v/>
      </c>
      <c r="P163" s="264" t="str">
        <f t="shared" ca="1" si="223"/>
        <v/>
      </c>
      <c r="Q163" s="362">
        <f t="shared" ca="1" si="208"/>
        <v>0</v>
      </c>
      <c r="R163" s="41">
        <f t="shared" ca="1" si="208"/>
        <v>0</v>
      </c>
      <c r="S163" s="41">
        <f t="shared" ca="1" si="208"/>
        <v>0</v>
      </c>
      <c r="T163" s="41">
        <f t="shared" ca="1" si="208"/>
        <v>0</v>
      </c>
      <c r="U163" s="41">
        <f t="shared" ca="1" si="208"/>
        <v>0</v>
      </c>
      <c r="V163" s="41">
        <f t="shared" ca="1" si="208"/>
        <v>0</v>
      </c>
      <c r="W163" s="264">
        <f t="shared" ref="W163:W164" ca="1" si="224">SUM(Q163:V163)</f>
        <v>0</v>
      </c>
    </row>
    <row r="164" spans="1:23" ht="15.75" thickBot="1" x14ac:dyDescent="0.3">
      <c r="A164" s="280" t="s">
        <v>225</v>
      </c>
      <c r="B164" s="386" t="s">
        <v>4</v>
      </c>
      <c r="C164" s="268">
        <f t="shared" ca="1" si="210"/>
        <v>0</v>
      </c>
      <c r="D164" s="269" t="str">
        <f t="shared" ca="1" si="211"/>
        <v/>
      </c>
      <c r="E164" s="269" t="str">
        <f t="shared" ca="1" si="212"/>
        <v/>
      </c>
      <c r="F164" s="269" t="str">
        <f t="shared" ca="1" si="213"/>
        <v/>
      </c>
      <c r="G164" s="269" t="str">
        <f t="shared" ca="1" si="214"/>
        <v/>
      </c>
      <c r="H164" s="269" t="str">
        <f t="shared" ca="1" si="215"/>
        <v/>
      </c>
      <c r="I164" s="269" t="str">
        <f t="shared" ca="1" si="216"/>
        <v/>
      </c>
      <c r="J164" s="269" t="str">
        <f t="shared" ca="1" si="217"/>
        <v/>
      </c>
      <c r="K164" s="269" t="str">
        <f t="shared" ca="1" si="218"/>
        <v/>
      </c>
      <c r="L164" s="269" t="str">
        <f t="shared" ca="1" si="219"/>
        <v/>
      </c>
      <c r="M164" s="269" t="str">
        <f t="shared" ca="1" si="220"/>
        <v/>
      </c>
      <c r="N164" s="269" t="str">
        <f t="shared" ca="1" si="221"/>
        <v/>
      </c>
      <c r="O164" s="269" t="str">
        <f t="shared" ca="1" si="222"/>
        <v/>
      </c>
      <c r="P164" s="270" t="str">
        <f t="shared" ca="1" si="223"/>
        <v/>
      </c>
      <c r="Q164" s="362">
        <f t="shared" ca="1" si="208"/>
        <v>0</v>
      </c>
      <c r="R164" s="41">
        <f t="shared" ca="1" si="208"/>
        <v>0</v>
      </c>
      <c r="S164" s="41">
        <f t="shared" ca="1" si="208"/>
        <v>0</v>
      </c>
      <c r="T164" s="41">
        <f t="shared" ca="1" si="208"/>
        <v>0</v>
      </c>
      <c r="U164" s="41">
        <f t="shared" ca="1" si="208"/>
        <v>0</v>
      </c>
      <c r="V164" s="41">
        <f t="shared" ca="1" si="208"/>
        <v>0</v>
      </c>
      <c r="W164" s="264">
        <f t="shared" ca="1" si="224"/>
        <v>0</v>
      </c>
    </row>
    <row r="165" spans="1:23" x14ac:dyDescent="0.25">
      <c r="A165" s="280"/>
      <c r="B165" s="386"/>
      <c r="C165" s="379"/>
      <c r="D165" s="380"/>
      <c r="E165" s="380"/>
      <c r="F165" s="380"/>
      <c r="G165" s="380"/>
      <c r="H165" s="380"/>
      <c r="I165" s="380"/>
      <c r="J165" s="380"/>
      <c r="K165" s="380"/>
      <c r="L165" s="380"/>
      <c r="M165" s="380"/>
      <c r="N165" s="380"/>
      <c r="O165" s="380"/>
      <c r="P165" s="422"/>
      <c r="Q165" s="262"/>
      <c r="R165" s="51"/>
      <c r="S165" s="51"/>
      <c r="T165" s="51"/>
      <c r="U165" s="51"/>
      <c r="V165" s="51"/>
      <c r="W165" s="265"/>
    </row>
    <row r="166" spans="1:23" ht="15.75" thickBot="1" x14ac:dyDescent="0.3">
      <c r="A166" s="286" t="s">
        <v>203</v>
      </c>
      <c r="B166" s="410"/>
      <c r="C166" s="377"/>
      <c r="D166" s="378"/>
      <c r="E166" s="378"/>
      <c r="F166" s="378"/>
      <c r="G166" s="378"/>
      <c r="H166" s="378"/>
      <c r="I166" s="378"/>
      <c r="J166" s="378"/>
      <c r="K166" s="378"/>
      <c r="L166" s="378"/>
      <c r="M166" s="378"/>
      <c r="N166" s="378"/>
      <c r="O166" s="378"/>
      <c r="P166" s="421"/>
      <c r="Q166" s="262"/>
      <c r="R166" s="51"/>
      <c r="S166" s="51"/>
      <c r="T166" s="51"/>
      <c r="U166" s="51"/>
      <c r="V166" s="51"/>
      <c r="W166" s="265"/>
    </row>
    <row r="167" spans="1:23" x14ac:dyDescent="0.25">
      <c r="A167" s="280" t="s">
        <v>695</v>
      </c>
      <c r="B167" s="386" t="s">
        <v>720</v>
      </c>
      <c r="C167" s="381">
        <f ca="1">IFERROR(INDIRECT(CONCATENATE("'",C$6,"'!",ADDRESS(ROW(A164)+208,6,4))),"")</f>
        <v>0</v>
      </c>
      <c r="D167" s="382" t="str">
        <f t="shared" ref="D167:P167" ca="1" si="225">IFERROR(INDIRECT(CONCATENATE("'",D$6,"'!",ADDRESS(ROW(B164)+208,6,4))),"")</f>
        <v/>
      </c>
      <c r="E167" s="382" t="str">
        <f t="shared" ca="1" si="225"/>
        <v/>
      </c>
      <c r="F167" s="382" t="str">
        <f t="shared" ca="1" si="225"/>
        <v/>
      </c>
      <c r="G167" s="382" t="str">
        <f t="shared" ca="1" si="225"/>
        <v/>
      </c>
      <c r="H167" s="382" t="str">
        <f t="shared" ca="1" si="225"/>
        <v/>
      </c>
      <c r="I167" s="382" t="str">
        <f t="shared" ca="1" si="225"/>
        <v/>
      </c>
      <c r="J167" s="382" t="str">
        <f t="shared" ca="1" si="225"/>
        <v/>
      </c>
      <c r="K167" s="382" t="str">
        <f t="shared" ca="1" si="225"/>
        <v/>
      </c>
      <c r="L167" s="382" t="str">
        <f t="shared" ca="1" si="225"/>
        <v/>
      </c>
      <c r="M167" s="382" t="str">
        <f t="shared" ca="1" si="225"/>
        <v/>
      </c>
      <c r="N167" s="382" t="str">
        <f t="shared" ca="1" si="225"/>
        <v/>
      </c>
      <c r="O167" s="382" t="str">
        <f t="shared" ca="1" si="225"/>
        <v/>
      </c>
      <c r="P167" s="383" t="str">
        <f t="shared" ca="1" si="225"/>
        <v/>
      </c>
      <c r="Q167" s="362">
        <f ca="1">SUMIF($C$4:$P$4,"="&amp;Q$6,$C167:$P167)</f>
        <v>0</v>
      </c>
      <c r="R167" s="41">
        <f t="shared" ca="1" si="208"/>
        <v>0</v>
      </c>
      <c r="S167" s="41">
        <f t="shared" ca="1" si="208"/>
        <v>0</v>
      </c>
      <c r="T167" s="41">
        <f t="shared" ca="1" si="208"/>
        <v>0</v>
      </c>
      <c r="U167" s="41">
        <f t="shared" ca="1" si="208"/>
        <v>0</v>
      </c>
      <c r="V167" s="41">
        <f t="shared" ca="1" si="208"/>
        <v>0</v>
      </c>
      <c r="W167" s="264">
        <f ca="1">SUM(Q167:V167)</f>
        <v>0</v>
      </c>
    </row>
    <row r="168" spans="1:23" x14ac:dyDescent="0.25">
      <c r="A168" s="280" t="s">
        <v>696</v>
      </c>
      <c r="B168" s="386" t="s">
        <v>720</v>
      </c>
      <c r="C168" s="263">
        <f t="shared" ref="C168:C177" ca="1" si="226">IFERROR(INDIRECT(CONCATENATE("'",C$6,"'!",ADDRESS(ROW(A165)+208,6,4))),"")</f>
        <v>0</v>
      </c>
      <c r="D168" s="41" t="str">
        <f t="shared" ref="D168:D177" ca="1" si="227">IFERROR(INDIRECT(CONCATENATE("'",D$6,"'!",ADDRESS(ROW(B165)+208,6,4))),"")</f>
        <v/>
      </c>
      <c r="E168" s="41" t="str">
        <f t="shared" ref="E168:E177" ca="1" si="228">IFERROR(INDIRECT(CONCATENATE("'",E$6,"'!",ADDRESS(ROW(C165)+208,6,4))),"")</f>
        <v/>
      </c>
      <c r="F168" s="41" t="str">
        <f t="shared" ref="F168:F177" ca="1" si="229">IFERROR(INDIRECT(CONCATENATE("'",F$6,"'!",ADDRESS(ROW(D165)+208,6,4))),"")</f>
        <v/>
      </c>
      <c r="G168" s="41" t="str">
        <f t="shared" ref="G168:G177" ca="1" si="230">IFERROR(INDIRECT(CONCATENATE("'",G$6,"'!",ADDRESS(ROW(E165)+208,6,4))),"")</f>
        <v/>
      </c>
      <c r="H168" s="41" t="str">
        <f t="shared" ref="H168:H177" ca="1" si="231">IFERROR(INDIRECT(CONCATENATE("'",H$6,"'!",ADDRESS(ROW(F165)+208,6,4))),"")</f>
        <v/>
      </c>
      <c r="I168" s="41" t="str">
        <f t="shared" ref="I168:I177" ca="1" si="232">IFERROR(INDIRECT(CONCATENATE("'",I$6,"'!",ADDRESS(ROW(G165)+208,6,4))),"")</f>
        <v/>
      </c>
      <c r="J168" s="41" t="str">
        <f t="shared" ref="J168:J177" ca="1" si="233">IFERROR(INDIRECT(CONCATENATE("'",J$6,"'!",ADDRESS(ROW(H165)+208,6,4))),"")</f>
        <v/>
      </c>
      <c r="K168" s="41" t="str">
        <f t="shared" ref="K168:K177" ca="1" si="234">IFERROR(INDIRECT(CONCATENATE("'",K$6,"'!",ADDRESS(ROW(I165)+208,6,4))),"")</f>
        <v/>
      </c>
      <c r="L168" s="41" t="str">
        <f t="shared" ref="L168:L177" ca="1" si="235">IFERROR(INDIRECT(CONCATENATE("'",L$6,"'!",ADDRESS(ROW(J165)+208,6,4))),"")</f>
        <v/>
      </c>
      <c r="M168" s="41" t="str">
        <f t="shared" ref="M168:M177" ca="1" si="236">IFERROR(INDIRECT(CONCATENATE("'",M$6,"'!",ADDRESS(ROW(K165)+208,6,4))),"")</f>
        <v/>
      </c>
      <c r="N168" s="41" t="str">
        <f t="shared" ref="N168:N177" ca="1" si="237">IFERROR(INDIRECT(CONCATENATE("'",N$6,"'!",ADDRESS(ROW(L165)+208,6,4))),"")</f>
        <v/>
      </c>
      <c r="O168" s="41" t="str">
        <f t="shared" ref="O168:O177" ca="1" si="238">IFERROR(INDIRECT(CONCATENATE("'",O$6,"'!",ADDRESS(ROW(M165)+208,6,4))),"")</f>
        <v/>
      </c>
      <c r="P168" s="264" t="str">
        <f t="shared" ref="P168:P177" ca="1" si="239">IFERROR(INDIRECT(CONCATENATE("'",P$6,"'!",ADDRESS(ROW(N165)+208,6,4))),"")</f>
        <v/>
      </c>
      <c r="Q168" s="362">
        <f t="shared" ref="Q168:V177" ca="1" si="240">SUMIF($C$4:$P$4,"="&amp;Q$6,$C168:$P168)</f>
        <v>0</v>
      </c>
      <c r="R168" s="41">
        <f t="shared" ca="1" si="208"/>
        <v>0</v>
      </c>
      <c r="S168" s="41">
        <f t="shared" ca="1" si="208"/>
        <v>0</v>
      </c>
      <c r="T168" s="41">
        <f t="shared" ca="1" si="208"/>
        <v>0</v>
      </c>
      <c r="U168" s="41">
        <f t="shared" ca="1" si="208"/>
        <v>0</v>
      </c>
      <c r="V168" s="41">
        <f t="shared" ca="1" si="208"/>
        <v>0</v>
      </c>
      <c r="W168" s="264">
        <f t="shared" ref="W168:W177" ca="1" si="241">SUM(Q168:V168)</f>
        <v>0</v>
      </c>
    </row>
    <row r="169" spans="1:23" x14ac:dyDescent="0.25">
      <c r="A169" s="280" t="s">
        <v>697</v>
      </c>
      <c r="B169" s="386" t="s">
        <v>720</v>
      </c>
      <c r="C169" s="263">
        <f t="shared" ca="1" si="226"/>
        <v>0</v>
      </c>
      <c r="D169" s="41" t="str">
        <f t="shared" ca="1" si="227"/>
        <v/>
      </c>
      <c r="E169" s="41" t="str">
        <f t="shared" ca="1" si="228"/>
        <v/>
      </c>
      <c r="F169" s="41" t="str">
        <f t="shared" ca="1" si="229"/>
        <v/>
      </c>
      <c r="G169" s="41" t="str">
        <f t="shared" ca="1" si="230"/>
        <v/>
      </c>
      <c r="H169" s="41" t="str">
        <f t="shared" ca="1" si="231"/>
        <v/>
      </c>
      <c r="I169" s="41" t="str">
        <f t="shared" ca="1" si="232"/>
        <v/>
      </c>
      <c r="J169" s="41" t="str">
        <f t="shared" ca="1" si="233"/>
        <v/>
      </c>
      <c r="K169" s="41" t="str">
        <f t="shared" ca="1" si="234"/>
        <v/>
      </c>
      <c r="L169" s="41" t="str">
        <f t="shared" ca="1" si="235"/>
        <v/>
      </c>
      <c r="M169" s="41" t="str">
        <f t="shared" ca="1" si="236"/>
        <v/>
      </c>
      <c r="N169" s="41" t="str">
        <f t="shared" ca="1" si="237"/>
        <v/>
      </c>
      <c r="O169" s="41" t="str">
        <f t="shared" ca="1" si="238"/>
        <v/>
      </c>
      <c r="P169" s="264" t="str">
        <f t="shared" ca="1" si="239"/>
        <v/>
      </c>
      <c r="Q169" s="362">
        <f t="shared" ca="1" si="240"/>
        <v>0</v>
      </c>
      <c r="R169" s="41">
        <f t="shared" ca="1" si="208"/>
        <v>0</v>
      </c>
      <c r="S169" s="41">
        <f t="shared" ca="1" si="208"/>
        <v>0</v>
      </c>
      <c r="T169" s="41">
        <f t="shared" ca="1" si="208"/>
        <v>0</v>
      </c>
      <c r="U169" s="41">
        <f t="shared" ca="1" si="208"/>
        <v>0</v>
      </c>
      <c r="V169" s="41">
        <f t="shared" ca="1" si="208"/>
        <v>0</v>
      </c>
      <c r="W169" s="264">
        <f t="shared" ca="1" si="241"/>
        <v>0</v>
      </c>
    </row>
    <row r="170" spans="1:23" x14ac:dyDescent="0.25">
      <c r="A170" s="280" t="s">
        <v>698</v>
      </c>
      <c r="B170" s="386" t="s">
        <v>720</v>
      </c>
      <c r="C170" s="263">
        <f t="shared" ca="1" si="226"/>
        <v>0</v>
      </c>
      <c r="D170" s="41" t="str">
        <f t="shared" ca="1" si="227"/>
        <v/>
      </c>
      <c r="E170" s="41" t="str">
        <f t="shared" ca="1" si="228"/>
        <v/>
      </c>
      <c r="F170" s="41" t="str">
        <f t="shared" ca="1" si="229"/>
        <v/>
      </c>
      <c r="G170" s="41" t="str">
        <f t="shared" ca="1" si="230"/>
        <v/>
      </c>
      <c r="H170" s="41" t="str">
        <f t="shared" ca="1" si="231"/>
        <v/>
      </c>
      <c r="I170" s="41" t="str">
        <f t="shared" ca="1" si="232"/>
        <v/>
      </c>
      <c r="J170" s="41" t="str">
        <f t="shared" ca="1" si="233"/>
        <v/>
      </c>
      <c r="K170" s="41" t="str">
        <f t="shared" ca="1" si="234"/>
        <v/>
      </c>
      <c r="L170" s="41" t="str">
        <f t="shared" ca="1" si="235"/>
        <v/>
      </c>
      <c r="M170" s="41" t="str">
        <f t="shared" ca="1" si="236"/>
        <v/>
      </c>
      <c r="N170" s="41" t="str">
        <f t="shared" ca="1" si="237"/>
        <v/>
      </c>
      <c r="O170" s="41" t="str">
        <f t="shared" ca="1" si="238"/>
        <v/>
      </c>
      <c r="P170" s="264" t="str">
        <f t="shared" ca="1" si="239"/>
        <v/>
      </c>
      <c r="Q170" s="362">
        <f t="shared" ca="1" si="240"/>
        <v>0</v>
      </c>
      <c r="R170" s="41">
        <f t="shared" ca="1" si="208"/>
        <v>0</v>
      </c>
      <c r="S170" s="41">
        <f t="shared" ca="1" si="208"/>
        <v>0</v>
      </c>
      <c r="T170" s="41">
        <f t="shared" ca="1" si="208"/>
        <v>0</v>
      </c>
      <c r="U170" s="41">
        <f t="shared" ca="1" si="208"/>
        <v>0</v>
      </c>
      <c r="V170" s="41">
        <f t="shared" ca="1" si="208"/>
        <v>0</v>
      </c>
      <c r="W170" s="264">
        <f t="shared" ca="1" si="241"/>
        <v>0</v>
      </c>
    </row>
    <row r="171" spans="1:23" x14ac:dyDescent="0.25">
      <c r="A171" s="280" t="s">
        <v>699</v>
      </c>
      <c r="B171" s="386" t="s">
        <v>720</v>
      </c>
      <c r="C171" s="263">
        <f t="shared" ca="1" si="226"/>
        <v>0</v>
      </c>
      <c r="D171" s="41" t="str">
        <f t="shared" ca="1" si="227"/>
        <v/>
      </c>
      <c r="E171" s="41" t="str">
        <f t="shared" ca="1" si="228"/>
        <v/>
      </c>
      <c r="F171" s="41" t="str">
        <f t="shared" ca="1" si="229"/>
        <v/>
      </c>
      <c r="G171" s="41" t="str">
        <f t="shared" ca="1" si="230"/>
        <v/>
      </c>
      <c r="H171" s="41" t="str">
        <f t="shared" ca="1" si="231"/>
        <v/>
      </c>
      <c r="I171" s="41" t="str">
        <f t="shared" ca="1" si="232"/>
        <v/>
      </c>
      <c r="J171" s="41" t="str">
        <f t="shared" ca="1" si="233"/>
        <v/>
      </c>
      <c r="K171" s="41" t="str">
        <f t="shared" ca="1" si="234"/>
        <v/>
      </c>
      <c r="L171" s="41" t="str">
        <f t="shared" ca="1" si="235"/>
        <v/>
      </c>
      <c r="M171" s="41" t="str">
        <f t="shared" ca="1" si="236"/>
        <v/>
      </c>
      <c r="N171" s="41" t="str">
        <f t="shared" ca="1" si="237"/>
        <v/>
      </c>
      <c r="O171" s="41" t="str">
        <f t="shared" ca="1" si="238"/>
        <v/>
      </c>
      <c r="P171" s="264" t="str">
        <f t="shared" ca="1" si="239"/>
        <v/>
      </c>
      <c r="Q171" s="362">
        <f t="shared" ca="1" si="240"/>
        <v>0</v>
      </c>
      <c r="R171" s="41">
        <f t="shared" ca="1" si="208"/>
        <v>0</v>
      </c>
      <c r="S171" s="41">
        <f t="shared" ca="1" si="208"/>
        <v>0</v>
      </c>
      <c r="T171" s="41">
        <f t="shared" ca="1" si="208"/>
        <v>0</v>
      </c>
      <c r="U171" s="41">
        <f t="shared" ca="1" si="208"/>
        <v>0</v>
      </c>
      <c r="V171" s="41">
        <f t="shared" ca="1" si="208"/>
        <v>0</v>
      </c>
      <c r="W171" s="264">
        <f t="shared" ca="1" si="241"/>
        <v>0</v>
      </c>
    </row>
    <row r="172" spans="1:23" x14ac:dyDescent="0.25">
      <c r="A172" s="280" t="s">
        <v>700</v>
      </c>
      <c r="B172" s="386" t="s">
        <v>720</v>
      </c>
      <c r="C172" s="263">
        <f t="shared" ca="1" si="226"/>
        <v>0</v>
      </c>
      <c r="D172" s="41" t="str">
        <f t="shared" ca="1" si="227"/>
        <v/>
      </c>
      <c r="E172" s="41" t="str">
        <f t="shared" ca="1" si="228"/>
        <v/>
      </c>
      <c r="F172" s="41" t="str">
        <f t="shared" ca="1" si="229"/>
        <v/>
      </c>
      <c r="G172" s="41" t="str">
        <f t="shared" ca="1" si="230"/>
        <v/>
      </c>
      <c r="H172" s="41" t="str">
        <f t="shared" ca="1" si="231"/>
        <v/>
      </c>
      <c r="I172" s="41" t="str">
        <f t="shared" ca="1" si="232"/>
        <v/>
      </c>
      <c r="J172" s="41" t="str">
        <f t="shared" ca="1" si="233"/>
        <v/>
      </c>
      <c r="K172" s="41" t="str">
        <f t="shared" ca="1" si="234"/>
        <v/>
      </c>
      <c r="L172" s="41" t="str">
        <f t="shared" ca="1" si="235"/>
        <v/>
      </c>
      <c r="M172" s="41" t="str">
        <f t="shared" ca="1" si="236"/>
        <v/>
      </c>
      <c r="N172" s="41" t="str">
        <f t="shared" ca="1" si="237"/>
        <v/>
      </c>
      <c r="O172" s="41" t="str">
        <f t="shared" ca="1" si="238"/>
        <v/>
      </c>
      <c r="P172" s="264" t="str">
        <f t="shared" ca="1" si="239"/>
        <v/>
      </c>
      <c r="Q172" s="362">
        <f t="shared" ca="1" si="240"/>
        <v>0</v>
      </c>
      <c r="R172" s="41">
        <f t="shared" ca="1" si="208"/>
        <v>0</v>
      </c>
      <c r="S172" s="41">
        <f t="shared" ca="1" si="208"/>
        <v>0</v>
      </c>
      <c r="T172" s="41">
        <f t="shared" ca="1" si="208"/>
        <v>0</v>
      </c>
      <c r="U172" s="41">
        <f t="shared" ca="1" si="208"/>
        <v>0</v>
      </c>
      <c r="V172" s="41">
        <f t="shared" ca="1" si="208"/>
        <v>0</v>
      </c>
      <c r="W172" s="264">
        <f t="shared" ca="1" si="241"/>
        <v>0</v>
      </c>
    </row>
    <row r="173" spans="1:23" x14ac:dyDescent="0.25">
      <c r="A173" s="280" t="s">
        <v>701</v>
      </c>
      <c r="B173" s="386" t="s">
        <v>720</v>
      </c>
      <c r="C173" s="263">
        <f t="shared" ca="1" si="226"/>
        <v>0</v>
      </c>
      <c r="D173" s="41" t="str">
        <f t="shared" ca="1" si="227"/>
        <v/>
      </c>
      <c r="E173" s="41" t="str">
        <f t="shared" ca="1" si="228"/>
        <v/>
      </c>
      <c r="F173" s="41" t="str">
        <f t="shared" ca="1" si="229"/>
        <v/>
      </c>
      <c r="G173" s="41" t="str">
        <f t="shared" ca="1" si="230"/>
        <v/>
      </c>
      <c r="H173" s="41" t="str">
        <f t="shared" ca="1" si="231"/>
        <v/>
      </c>
      <c r="I173" s="41" t="str">
        <f t="shared" ca="1" si="232"/>
        <v/>
      </c>
      <c r="J173" s="41" t="str">
        <f t="shared" ca="1" si="233"/>
        <v/>
      </c>
      <c r="K173" s="41" t="str">
        <f t="shared" ca="1" si="234"/>
        <v/>
      </c>
      <c r="L173" s="41" t="str">
        <f t="shared" ca="1" si="235"/>
        <v/>
      </c>
      <c r="M173" s="41" t="str">
        <f t="shared" ca="1" si="236"/>
        <v/>
      </c>
      <c r="N173" s="41" t="str">
        <f t="shared" ca="1" si="237"/>
        <v/>
      </c>
      <c r="O173" s="41" t="str">
        <f t="shared" ca="1" si="238"/>
        <v/>
      </c>
      <c r="P173" s="264" t="str">
        <f t="shared" ca="1" si="239"/>
        <v/>
      </c>
      <c r="Q173" s="362">
        <f t="shared" ca="1" si="240"/>
        <v>0</v>
      </c>
      <c r="R173" s="41">
        <f t="shared" ca="1" si="208"/>
        <v>0</v>
      </c>
      <c r="S173" s="41">
        <f t="shared" ca="1" si="208"/>
        <v>0</v>
      </c>
      <c r="T173" s="41">
        <f t="shared" ca="1" si="208"/>
        <v>0</v>
      </c>
      <c r="U173" s="41">
        <f t="shared" ca="1" si="208"/>
        <v>0</v>
      </c>
      <c r="V173" s="41">
        <f t="shared" ca="1" si="208"/>
        <v>0</v>
      </c>
      <c r="W173" s="264">
        <f t="shared" ca="1" si="241"/>
        <v>0</v>
      </c>
    </row>
    <row r="174" spans="1:23" x14ac:dyDescent="0.25">
      <c r="A174" s="280" t="s">
        <v>702</v>
      </c>
      <c r="B174" s="386" t="s">
        <v>720</v>
      </c>
      <c r="C174" s="263">
        <f t="shared" ca="1" si="226"/>
        <v>0</v>
      </c>
      <c r="D174" s="41" t="str">
        <f t="shared" ca="1" si="227"/>
        <v/>
      </c>
      <c r="E174" s="41" t="str">
        <f t="shared" ca="1" si="228"/>
        <v/>
      </c>
      <c r="F174" s="41" t="str">
        <f t="shared" ca="1" si="229"/>
        <v/>
      </c>
      <c r="G174" s="41" t="str">
        <f t="shared" ca="1" si="230"/>
        <v/>
      </c>
      <c r="H174" s="41" t="str">
        <f t="shared" ca="1" si="231"/>
        <v/>
      </c>
      <c r="I174" s="41" t="str">
        <f t="shared" ca="1" si="232"/>
        <v/>
      </c>
      <c r="J174" s="41" t="str">
        <f t="shared" ca="1" si="233"/>
        <v/>
      </c>
      <c r="K174" s="41" t="str">
        <f t="shared" ca="1" si="234"/>
        <v/>
      </c>
      <c r="L174" s="41" t="str">
        <f t="shared" ca="1" si="235"/>
        <v/>
      </c>
      <c r="M174" s="41" t="str">
        <f t="shared" ca="1" si="236"/>
        <v/>
      </c>
      <c r="N174" s="41" t="str">
        <f t="shared" ca="1" si="237"/>
        <v/>
      </c>
      <c r="O174" s="41" t="str">
        <f t="shared" ca="1" si="238"/>
        <v/>
      </c>
      <c r="P174" s="264" t="str">
        <f t="shared" ca="1" si="239"/>
        <v/>
      </c>
      <c r="Q174" s="362">
        <f t="shared" ca="1" si="240"/>
        <v>0</v>
      </c>
      <c r="R174" s="41">
        <f t="shared" ca="1" si="240"/>
        <v>0</v>
      </c>
      <c r="S174" s="41">
        <f t="shared" ca="1" si="240"/>
        <v>0</v>
      </c>
      <c r="T174" s="41">
        <f t="shared" ca="1" si="240"/>
        <v>0</v>
      </c>
      <c r="U174" s="41">
        <f t="shared" ca="1" si="240"/>
        <v>0</v>
      </c>
      <c r="V174" s="41">
        <f t="shared" ca="1" si="240"/>
        <v>0</v>
      </c>
      <c r="W174" s="264">
        <f t="shared" ca="1" si="241"/>
        <v>0</v>
      </c>
    </row>
    <row r="175" spans="1:23" x14ac:dyDescent="0.25">
      <c r="A175" s="280" t="s">
        <v>703</v>
      </c>
      <c r="B175" s="386" t="s">
        <v>720</v>
      </c>
      <c r="C175" s="263">
        <f t="shared" ca="1" si="226"/>
        <v>0</v>
      </c>
      <c r="D175" s="41" t="str">
        <f t="shared" ca="1" si="227"/>
        <v/>
      </c>
      <c r="E175" s="41" t="str">
        <f t="shared" ca="1" si="228"/>
        <v/>
      </c>
      <c r="F175" s="41" t="str">
        <f t="shared" ca="1" si="229"/>
        <v/>
      </c>
      <c r="G175" s="41" t="str">
        <f t="shared" ca="1" si="230"/>
        <v/>
      </c>
      <c r="H175" s="41" t="str">
        <f t="shared" ca="1" si="231"/>
        <v/>
      </c>
      <c r="I175" s="41" t="str">
        <f t="shared" ca="1" si="232"/>
        <v/>
      </c>
      <c r="J175" s="41" t="str">
        <f t="shared" ca="1" si="233"/>
        <v/>
      </c>
      <c r="K175" s="41" t="str">
        <f t="shared" ca="1" si="234"/>
        <v/>
      </c>
      <c r="L175" s="41" t="str">
        <f t="shared" ca="1" si="235"/>
        <v/>
      </c>
      <c r="M175" s="41" t="str">
        <f t="shared" ca="1" si="236"/>
        <v/>
      </c>
      <c r="N175" s="41" t="str">
        <f t="shared" ca="1" si="237"/>
        <v/>
      </c>
      <c r="O175" s="41" t="str">
        <f t="shared" ca="1" si="238"/>
        <v/>
      </c>
      <c r="P175" s="264" t="str">
        <f t="shared" ca="1" si="239"/>
        <v/>
      </c>
      <c r="Q175" s="362">
        <f t="shared" ca="1" si="240"/>
        <v>0</v>
      </c>
      <c r="R175" s="41">
        <f t="shared" ca="1" si="240"/>
        <v>0</v>
      </c>
      <c r="S175" s="41">
        <f t="shared" ca="1" si="240"/>
        <v>0</v>
      </c>
      <c r="T175" s="41">
        <f t="shared" ca="1" si="240"/>
        <v>0</v>
      </c>
      <c r="U175" s="41">
        <f t="shared" ca="1" si="240"/>
        <v>0</v>
      </c>
      <c r="V175" s="41">
        <f t="shared" ca="1" si="240"/>
        <v>0</v>
      </c>
      <c r="W175" s="264">
        <f t="shared" ca="1" si="241"/>
        <v>0</v>
      </c>
    </row>
    <row r="176" spans="1:23" x14ac:dyDescent="0.25">
      <c r="A176" s="280" t="s">
        <v>704</v>
      </c>
      <c r="B176" s="386" t="s">
        <v>720</v>
      </c>
      <c r="C176" s="263">
        <f t="shared" ca="1" si="226"/>
        <v>0</v>
      </c>
      <c r="D176" s="41" t="str">
        <f t="shared" ca="1" si="227"/>
        <v/>
      </c>
      <c r="E176" s="41" t="str">
        <f t="shared" ca="1" si="228"/>
        <v/>
      </c>
      <c r="F176" s="41" t="str">
        <f t="shared" ca="1" si="229"/>
        <v/>
      </c>
      <c r="G176" s="41" t="str">
        <f t="shared" ca="1" si="230"/>
        <v/>
      </c>
      <c r="H176" s="41" t="str">
        <f t="shared" ca="1" si="231"/>
        <v/>
      </c>
      <c r="I176" s="41" t="str">
        <f t="shared" ca="1" si="232"/>
        <v/>
      </c>
      <c r="J176" s="41" t="str">
        <f t="shared" ca="1" si="233"/>
        <v/>
      </c>
      <c r="K176" s="41" t="str">
        <f t="shared" ca="1" si="234"/>
        <v/>
      </c>
      <c r="L176" s="41" t="str">
        <f t="shared" ca="1" si="235"/>
        <v/>
      </c>
      <c r="M176" s="41" t="str">
        <f t="shared" ca="1" si="236"/>
        <v/>
      </c>
      <c r="N176" s="41" t="str">
        <f t="shared" ca="1" si="237"/>
        <v/>
      </c>
      <c r="O176" s="41" t="str">
        <f t="shared" ca="1" si="238"/>
        <v/>
      </c>
      <c r="P176" s="264" t="str">
        <f t="shared" ca="1" si="239"/>
        <v/>
      </c>
      <c r="Q176" s="362">
        <f t="shared" ca="1" si="240"/>
        <v>0</v>
      </c>
      <c r="R176" s="41">
        <f t="shared" ca="1" si="240"/>
        <v>0</v>
      </c>
      <c r="S176" s="41">
        <f t="shared" ca="1" si="240"/>
        <v>0</v>
      </c>
      <c r="T176" s="41">
        <f t="shared" ca="1" si="240"/>
        <v>0</v>
      </c>
      <c r="U176" s="41">
        <f t="shared" ca="1" si="240"/>
        <v>0</v>
      </c>
      <c r="V176" s="41">
        <f t="shared" ca="1" si="240"/>
        <v>0</v>
      </c>
      <c r="W176" s="264">
        <f t="shared" ca="1" si="241"/>
        <v>0</v>
      </c>
    </row>
    <row r="177" spans="1:23" ht="15.75" thickBot="1" x14ac:dyDescent="0.3">
      <c r="A177" s="280" t="s">
        <v>705</v>
      </c>
      <c r="B177" s="386" t="s">
        <v>720</v>
      </c>
      <c r="C177" s="268">
        <f t="shared" ca="1" si="226"/>
        <v>0</v>
      </c>
      <c r="D177" s="269" t="str">
        <f t="shared" ca="1" si="227"/>
        <v/>
      </c>
      <c r="E177" s="269" t="str">
        <f t="shared" ca="1" si="228"/>
        <v/>
      </c>
      <c r="F177" s="269" t="str">
        <f t="shared" ca="1" si="229"/>
        <v/>
      </c>
      <c r="G177" s="269" t="str">
        <f t="shared" ca="1" si="230"/>
        <v/>
      </c>
      <c r="H177" s="269" t="str">
        <f t="shared" ca="1" si="231"/>
        <v/>
      </c>
      <c r="I177" s="269" t="str">
        <f t="shared" ca="1" si="232"/>
        <v/>
      </c>
      <c r="J177" s="269" t="str">
        <f t="shared" ca="1" si="233"/>
        <v/>
      </c>
      <c r="K177" s="269" t="str">
        <f t="shared" ca="1" si="234"/>
        <v/>
      </c>
      <c r="L177" s="269" t="str">
        <f t="shared" ca="1" si="235"/>
        <v/>
      </c>
      <c r="M177" s="269" t="str">
        <f t="shared" ca="1" si="236"/>
        <v/>
      </c>
      <c r="N177" s="269" t="str">
        <f t="shared" ca="1" si="237"/>
        <v/>
      </c>
      <c r="O177" s="269" t="str">
        <f t="shared" ca="1" si="238"/>
        <v/>
      </c>
      <c r="P177" s="270" t="str">
        <f t="shared" ca="1" si="239"/>
        <v/>
      </c>
      <c r="Q177" s="362">
        <f t="shared" ca="1" si="240"/>
        <v>0</v>
      </c>
      <c r="R177" s="41">
        <f t="shared" ca="1" si="240"/>
        <v>0</v>
      </c>
      <c r="S177" s="41">
        <f t="shared" ca="1" si="240"/>
        <v>0</v>
      </c>
      <c r="T177" s="41">
        <f t="shared" ca="1" si="240"/>
        <v>0</v>
      </c>
      <c r="U177" s="41">
        <f t="shared" ca="1" si="240"/>
        <v>0</v>
      </c>
      <c r="V177" s="41">
        <f t="shared" ca="1" si="240"/>
        <v>0</v>
      </c>
      <c r="W177" s="264">
        <f t="shared" ca="1" si="241"/>
        <v>0</v>
      </c>
    </row>
    <row r="178" spans="1:23" x14ac:dyDescent="0.25">
      <c r="A178" s="280"/>
      <c r="B178" s="385"/>
      <c r="C178" s="379"/>
      <c r="D178" s="380"/>
      <c r="E178" s="380"/>
      <c r="F178" s="380"/>
      <c r="G178" s="380"/>
      <c r="H178" s="380"/>
      <c r="I178" s="380"/>
      <c r="J178" s="380"/>
      <c r="K178" s="380"/>
      <c r="L178" s="380"/>
      <c r="M178" s="380"/>
      <c r="N178" s="380"/>
      <c r="O178" s="380"/>
      <c r="P178" s="422"/>
      <c r="Q178" s="262"/>
      <c r="R178" s="51"/>
      <c r="S178" s="51"/>
      <c r="T178" s="51"/>
      <c r="U178" s="51"/>
      <c r="V178" s="51"/>
      <c r="W178" s="265"/>
    </row>
    <row r="179" spans="1:23" ht="15.75" thickBot="1" x14ac:dyDescent="0.3">
      <c r="A179" s="281" t="s">
        <v>129</v>
      </c>
      <c r="B179" s="385"/>
      <c r="C179" s="377"/>
      <c r="D179" s="378"/>
      <c r="E179" s="378"/>
      <c r="F179" s="378"/>
      <c r="G179" s="378"/>
      <c r="H179" s="378"/>
      <c r="I179" s="378"/>
      <c r="J179" s="378"/>
      <c r="K179" s="378"/>
      <c r="L179" s="378"/>
      <c r="M179" s="378"/>
      <c r="N179" s="378"/>
      <c r="O179" s="378"/>
      <c r="P179" s="421"/>
      <c r="Q179" s="262"/>
      <c r="R179" s="51"/>
      <c r="S179" s="51"/>
      <c r="T179" s="51"/>
      <c r="U179" s="51"/>
      <c r="V179" s="51"/>
      <c r="W179" s="265"/>
    </row>
    <row r="180" spans="1:23" x14ac:dyDescent="0.25">
      <c r="A180" s="280" t="s">
        <v>130</v>
      </c>
      <c r="B180" s="385" t="s">
        <v>135</v>
      </c>
      <c r="C180" s="381">
        <f ca="1">IFERROR(INDIRECT(CONCATENATE("'",C$6,"'!",ADDRESS(ROW(A177)+208,6,4))),"")</f>
        <v>0</v>
      </c>
      <c r="D180" s="382" t="str">
        <f t="shared" ref="D180:P180" ca="1" si="242">IFERROR(INDIRECT(CONCATENATE("'",D$6,"'!",ADDRESS(ROW(B177)+208,6,4))),"")</f>
        <v/>
      </c>
      <c r="E180" s="382" t="str">
        <f t="shared" ca="1" si="242"/>
        <v/>
      </c>
      <c r="F180" s="382" t="str">
        <f t="shared" ca="1" si="242"/>
        <v/>
      </c>
      <c r="G180" s="382" t="str">
        <f t="shared" ca="1" si="242"/>
        <v/>
      </c>
      <c r="H180" s="382" t="str">
        <f t="shared" ca="1" si="242"/>
        <v/>
      </c>
      <c r="I180" s="382" t="str">
        <f t="shared" ca="1" si="242"/>
        <v/>
      </c>
      <c r="J180" s="382" t="str">
        <f t="shared" ca="1" si="242"/>
        <v/>
      </c>
      <c r="K180" s="382" t="str">
        <f t="shared" ca="1" si="242"/>
        <v/>
      </c>
      <c r="L180" s="382" t="str">
        <f t="shared" ca="1" si="242"/>
        <v/>
      </c>
      <c r="M180" s="382" t="str">
        <f t="shared" ca="1" si="242"/>
        <v/>
      </c>
      <c r="N180" s="382" t="str">
        <f t="shared" ca="1" si="242"/>
        <v/>
      </c>
      <c r="O180" s="382" t="str">
        <f t="shared" ca="1" si="242"/>
        <v/>
      </c>
      <c r="P180" s="383" t="str">
        <f t="shared" ca="1" si="242"/>
        <v/>
      </c>
      <c r="Q180" s="362">
        <f t="shared" ref="Q180:V184" ca="1" si="243">SUMIF($C$4:$P$4,"="&amp;Q$6,$C180:$P180)</f>
        <v>0</v>
      </c>
      <c r="R180" s="41">
        <f t="shared" ca="1" si="243"/>
        <v>0</v>
      </c>
      <c r="S180" s="41">
        <f t="shared" ca="1" si="243"/>
        <v>0</v>
      </c>
      <c r="T180" s="41">
        <f t="shared" ca="1" si="243"/>
        <v>0</v>
      </c>
      <c r="U180" s="41">
        <f t="shared" ca="1" si="243"/>
        <v>0</v>
      </c>
      <c r="V180" s="41">
        <f t="shared" ca="1" si="243"/>
        <v>0</v>
      </c>
      <c r="W180" s="264">
        <f ca="1">SUM(Q180:V180)</f>
        <v>0</v>
      </c>
    </row>
    <row r="181" spans="1:23" x14ac:dyDescent="0.25">
      <c r="A181" s="280" t="s">
        <v>131</v>
      </c>
      <c r="B181" s="385" t="s">
        <v>135</v>
      </c>
      <c r="C181" s="263">
        <f t="shared" ref="C181:C184" ca="1" si="244">IFERROR(INDIRECT(CONCATENATE("'",C$6,"'!",ADDRESS(ROW(A178)+208,6,4))),"")</f>
        <v>0</v>
      </c>
      <c r="D181" s="41" t="str">
        <f t="shared" ref="D181:D184" ca="1" si="245">IFERROR(INDIRECT(CONCATENATE("'",D$6,"'!",ADDRESS(ROW(B178)+208,6,4))),"")</f>
        <v/>
      </c>
      <c r="E181" s="41" t="str">
        <f t="shared" ref="E181:E184" ca="1" si="246">IFERROR(INDIRECT(CONCATENATE("'",E$6,"'!",ADDRESS(ROW(C178)+208,6,4))),"")</f>
        <v/>
      </c>
      <c r="F181" s="41" t="str">
        <f t="shared" ref="F181:F184" ca="1" si="247">IFERROR(INDIRECT(CONCATENATE("'",F$6,"'!",ADDRESS(ROW(D178)+208,6,4))),"")</f>
        <v/>
      </c>
      <c r="G181" s="41" t="str">
        <f t="shared" ref="G181:G184" ca="1" si="248">IFERROR(INDIRECT(CONCATENATE("'",G$6,"'!",ADDRESS(ROW(E178)+208,6,4))),"")</f>
        <v/>
      </c>
      <c r="H181" s="41" t="str">
        <f t="shared" ref="H181:H184" ca="1" si="249">IFERROR(INDIRECT(CONCATENATE("'",H$6,"'!",ADDRESS(ROW(F178)+208,6,4))),"")</f>
        <v/>
      </c>
      <c r="I181" s="41" t="str">
        <f t="shared" ref="I181:I184" ca="1" si="250">IFERROR(INDIRECT(CONCATENATE("'",I$6,"'!",ADDRESS(ROW(G178)+208,6,4))),"")</f>
        <v/>
      </c>
      <c r="J181" s="41" t="str">
        <f t="shared" ref="J181:J184" ca="1" si="251">IFERROR(INDIRECT(CONCATENATE("'",J$6,"'!",ADDRESS(ROW(H178)+208,6,4))),"")</f>
        <v/>
      </c>
      <c r="K181" s="41" t="str">
        <f t="shared" ref="K181:K184" ca="1" si="252">IFERROR(INDIRECT(CONCATENATE("'",K$6,"'!",ADDRESS(ROW(I178)+208,6,4))),"")</f>
        <v/>
      </c>
      <c r="L181" s="41" t="str">
        <f t="shared" ref="L181:L184" ca="1" si="253">IFERROR(INDIRECT(CONCATENATE("'",L$6,"'!",ADDRESS(ROW(J178)+208,6,4))),"")</f>
        <v/>
      </c>
      <c r="M181" s="41" t="str">
        <f t="shared" ref="M181:M184" ca="1" si="254">IFERROR(INDIRECT(CONCATENATE("'",M$6,"'!",ADDRESS(ROW(K178)+208,6,4))),"")</f>
        <v/>
      </c>
      <c r="N181" s="41" t="str">
        <f t="shared" ref="N181:N184" ca="1" si="255">IFERROR(INDIRECT(CONCATENATE("'",N$6,"'!",ADDRESS(ROW(L178)+208,6,4))),"")</f>
        <v/>
      </c>
      <c r="O181" s="41" t="str">
        <f t="shared" ref="O181:O184" ca="1" si="256">IFERROR(INDIRECT(CONCATENATE("'",O$6,"'!",ADDRESS(ROW(M178)+208,6,4))),"")</f>
        <v/>
      </c>
      <c r="P181" s="264" t="str">
        <f t="shared" ref="P181:P184" ca="1" si="257">IFERROR(INDIRECT(CONCATENATE("'",P$6,"'!",ADDRESS(ROW(N178)+208,6,4))),"")</f>
        <v/>
      </c>
      <c r="Q181" s="362">
        <f t="shared" ca="1" si="243"/>
        <v>0</v>
      </c>
      <c r="R181" s="41">
        <f t="shared" ca="1" si="243"/>
        <v>0</v>
      </c>
      <c r="S181" s="41">
        <f t="shared" ca="1" si="243"/>
        <v>0</v>
      </c>
      <c r="T181" s="41">
        <f t="shared" ca="1" si="243"/>
        <v>0</v>
      </c>
      <c r="U181" s="41">
        <f t="shared" ca="1" si="243"/>
        <v>0</v>
      </c>
      <c r="V181" s="41">
        <f t="shared" ca="1" si="243"/>
        <v>0</v>
      </c>
      <c r="W181" s="264">
        <f ca="1">SUM(Q181:V181)</f>
        <v>0</v>
      </c>
    </row>
    <row r="182" spans="1:23" x14ac:dyDescent="0.25">
      <c r="A182" s="280" t="s">
        <v>132</v>
      </c>
      <c r="B182" s="385" t="s">
        <v>135</v>
      </c>
      <c r="C182" s="263">
        <f t="shared" ca="1" si="244"/>
        <v>0</v>
      </c>
      <c r="D182" s="41" t="str">
        <f t="shared" ca="1" si="245"/>
        <v/>
      </c>
      <c r="E182" s="41" t="str">
        <f t="shared" ca="1" si="246"/>
        <v/>
      </c>
      <c r="F182" s="41" t="str">
        <f t="shared" ca="1" si="247"/>
        <v/>
      </c>
      <c r="G182" s="41" t="str">
        <f t="shared" ca="1" si="248"/>
        <v/>
      </c>
      <c r="H182" s="41" t="str">
        <f t="shared" ca="1" si="249"/>
        <v/>
      </c>
      <c r="I182" s="41" t="str">
        <f t="shared" ca="1" si="250"/>
        <v/>
      </c>
      <c r="J182" s="41" t="str">
        <f t="shared" ca="1" si="251"/>
        <v/>
      </c>
      <c r="K182" s="41" t="str">
        <f t="shared" ca="1" si="252"/>
        <v/>
      </c>
      <c r="L182" s="41" t="str">
        <f t="shared" ca="1" si="253"/>
        <v/>
      </c>
      <c r="M182" s="41" t="str">
        <f t="shared" ca="1" si="254"/>
        <v/>
      </c>
      <c r="N182" s="41" t="str">
        <f t="shared" ca="1" si="255"/>
        <v/>
      </c>
      <c r="O182" s="41" t="str">
        <f t="shared" ca="1" si="256"/>
        <v/>
      </c>
      <c r="P182" s="264" t="str">
        <f t="shared" ca="1" si="257"/>
        <v/>
      </c>
      <c r="Q182" s="362">
        <f t="shared" ca="1" si="243"/>
        <v>0</v>
      </c>
      <c r="R182" s="41">
        <f t="shared" ca="1" si="243"/>
        <v>0</v>
      </c>
      <c r="S182" s="41">
        <f t="shared" ca="1" si="243"/>
        <v>0</v>
      </c>
      <c r="T182" s="41">
        <f t="shared" ca="1" si="243"/>
        <v>0</v>
      </c>
      <c r="U182" s="41">
        <f t="shared" ca="1" si="243"/>
        <v>0</v>
      </c>
      <c r="V182" s="41">
        <f t="shared" ca="1" si="243"/>
        <v>0</v>
      </c>
      <c r="W182" s="264">
        <f ca="1">SUM(Q182:V182)</f>
        <v>0</v>
      </c>
    </row>
    <row r="183" spans="1:23" x14ac:dyDescent="0.25">
      <c r="A183" s="280" t="s">
        <v>133</v>
      </c>
      <c r="B183" s="385" t="s">
        <v>135</v>
      </c>
      <c r="C183" s="263">
        <f t="shared" ca="1" si="244"/>
        <v>0</v>
      </c>
      <c r="D183" s="41" t="str">
        <f t="shared" ca="1" si="245"/>
        <v/>
      </c>
      <c r="E183" s="41" t="str">
        <f t="shared" ca="1" si="246"/>
        <v/>
      </c>
      <c r="F183" s="41" t="str">
        <f t="shared" ca="1" si="247"/>
        <v/>
      </c>
      <c r="G183" s="41" t="str">
        <f t="shared" ca="1" si="248"/>
        <v/>
      </c>
      <c r="H183" s="41" t="str">
        <f t="shared" ca="1" si="249"/>
        <v/>
      </c>
      <c r="I183" s="41" t="str">
        <f t="shared" ca="1" si="250"/>
        <v/>
      </c>
      <c r="J183" s="41" t="str">
        <f t="shared" ca="1" si="251"/>
        <v/>
      </c>
      <c r="K183" s="41" t="str">
        <f t="shared" ca="1" si="252"/>
        <v/>
      </c>
      <c r="L183" s="41" t="str">
        <f t="shared" ca="1" si="253"/>
        <v/>
      </c>
      <c r="M183" s="41" t="str">
        <f t="shared" ca="1" si="254"/>
        <v/>
      </c>
      <c r="N183" s="41" t="str">
        <f t="shared" ca="1" si="255"/>
        <v/>
      </c>
      <c r="O183" s="41" t="str">
        <f t="shared" ca="1" si="256"/>
        <v/>
      </c>
      <c r="P183" s="264" t="str">
        <f t="shared" ca="1" si="257"/>
        <v/>
      </c>
      <c r="Q183" s="362">
        <f t="shared" ca="1" si="243"/>
        <v>0</v>
      </c>
      <c r="R183" s="41">
        <f t="shared" ca="1" si="243"/>
        <v>0</v>
      </c>
      <c r="S183" s="41">
        <f t="shared" ca="1" si="243"/>
        <v>0</v>
      </c>
      <c r="T183" s="41">
        <f t="shared" ca="1" si="243"/>
        <v>0</v>
      </c>
      <c r="U183" s="41">
        <f t="shared" ca="1" si="243"/>
        <v>0</v>
      </c>
      <c r="V183" s="41">
        <f t="shared" ca="1" si="243"/>
        <v>0</v>
      </c>
      <c r="W183" s="264">
        <f ca="1">SUM(Q183:V183)</f>
        <v>0</v>
      </c>
    </row>
    <row r="184" spans="1:23" ht="15.75" thickBot="1" x14ac:dyDescent="0.3">
      <c r="A184" s="280" t="s">
        <v>177</v>
      </c>
      <c r="B184" s="385" t="s">
        <v>135</v>
      </c>
      <c r="C184" s="268">
        <f t="shared" ca="1" si="244"/>
        <v>0</v>
      </c>
      <c r="D184" s="269" t="str">
        <f t="shared" ca="1" si="245"/>
        <v/>
      </c>
      <c r="E184" s="269" t="str">
        <f t="shared" ca="1" si="246"/>
        <v/>
      </c>
      <c r="F184" s="269" t="str">
        <f t="shared" ca="1" si="247"/>
        <v/>
      </c>
      <c r="G184" s="269" t="str">
        <f t="shared" ca="1" si="248"/>
        <v/>
      </c>
      <c r="H184" s="269" t="str">
        <f t="shared" ca="1" si="249"/>
        <v/>
      </c>
      <c r="I184" s="269" t="str">
        <f t="shared" ca="1" si="250"/>
        <v/>
      </c>
      <c r="J184" s="269" t="str">
        <f t="shared" ca="1" si="251"/>
        <v/>
      </c>
      <c r="K184" s="269" t="str">
        <f t="shared" ca="1" si="252"/>
        <v/>
      </c>
      <c r="L184" s="269" t="str">
        <f t="shared" ca="1" si="253"/>
        <v/>
      </c>
      <c r="M184" s="269" t="str">
        <f t="shared" ca="1" si="254"/>
        <v/>
      </c>
      <c r="N184" s="269" t="str">
        <f t="shared" ca="1" si="255"/>
        <v/>
      </c>
      <c r="O184" s="269" t="str">
        <f t="shared" ca="1" si="256"/>
        <v/>
      </c>
      <c r="P184" s="270" t="str">
        <f t="shared" ca="1" si="257"/>
        <v/>
      </c>
      <c r="Q184" s="362">
        <f t="shared" ca="1" si="243"/>
        <v>0</v>
      </c>
      <c r="R184" s="41">
        <f t="shared" ca="1" si="243"/>
        <v>0</v>
      </c>
      <c r="S184" s="41">
        <f t="shared" ca="1" si="243"/>
        <v>0</v>
      </c>
      <c r="T184" s="41">
        <f t="shared" ca="1" si="243"/>
        <v>0</v>
      </c>
      <c r="U184" s="41">
        <f t="shared" ca="1" si="243"/>
        <v>0</v>
      </c>
      <c r="V184" s="41">
        <f t="shared" ca="1" si="243"/>
        <v>0</v>
      </c>
      <c r="W184" s="264">
        <f ca="1">SUM(Q184:V184)</f>
        <v>0</v>
      </c>
    </row>
    <row r="185" spans="1:23" x14ac:dyDescent="0.25">
      <c r="A185" s="280"/>
      <c r="B185" s="385"/>
      <c r="C185" s="379"/>
      <c r="D185" s="380"/>
      <c r="E185" s="380"/>
      <c r="F185" s="380"/>
      <c r="G185" s="380"/>
      <c r="H185" s="380"/>
      <c r="I185" s="380"/>
      <c r="J185" s="380"/>
      <c r="K185" s="380"/>
      <c r="L185" s="380"/>
      <c r="M185" s="380"/>
      <c r="N185" s="380"/>
      <c r="O185" s="380"/>
      <c r="P185" s="422"/>
      <c r="Q185" s="262"/>
      <c r="R185" s="51"/>
      <c r="S185" s="51"/>
      <c r="T185" s="51"/>
      <c r="U185" s="51"/>
      <c r="V185" s="51"/>
      <c r="W185" s="265"/>
    </row>
    <row r="186" spans="1:23" ht="15.75" thickBot="1" x14ac:dyDescent="0.3">
      <c r="A186" s="281" t="s">
        <v>134</v>
      </c>
      <c r="B186" s="385"/>
      <c r="C186" s="377"/>
      <c r="D186" s="378"/>
      <c r="E186" s="378"/>
      <c r="F186" s="378"/>
      <c r="G186" s="378"/>
      <c r="H186" s="378"/>
      <c r="I186" s="378"/>
      <c r="J186" s="378"/>
      <c r="K186" s="378"/>
      <c r="L186" s="378"/>
      <c r="M186" s="378"/>
      <c r="N186" s="378"/>
      <c r="O186" s="378"/>
      <c r="P186" s="421"/>
      <c r="Q186" s="262"/>
      <c r="R186" s="51"/>
      <c r="S186" s="51"/>
      <c r="T186" s="51"/>
      <c r="U186" s="51"/>
      <c r="V186" s="51"/>
      <c r="W186" s="265"/>
    </row>
    <row r="187" spans="1:23" ht="15.75" thickBot="1" x14ac:dyDescent="0.3">
      <c r="A187" s="280" t="s">
        <v>176</v>
      </c>
      <c r="B187" s="385" t="s">
        <v>135</v>
      </c>
      <c r="C187" s="387">
        <f ca="1">IFERROR(INDIRECT(CONCATENATE("'",C$6,"'!",ADDRESS(ROW(A184)+208,6,4))),"")</f>
        <v>0</v>
      </c>
      <c r="D187" s="388" t="str">
        <f t="shared" ref="D187:P187" ca="1" si="258">IFERROR(INDIRECT(CONCATENATE("'",D$6,"'!",ADDRESS(ROW(B184)+208,6,4))),"")</f>
        <v/>
      </c>
      <c r="E187" s="388" t="str">
        <f t="shared" ca="1" si="258"/>
        <v/>
      </c>
      <c r="F187" s="388" t="str">
        <f t="shared" ca="1" si="258"/>
        <v/>
      </c>
      <c r="G187" s="388" t="str">
        <f t="shared" ca="1" si="258"/>
        <v/>
      </c>
      <c r="H187" s="388" t="str">
        <f t="shared" ca="1" si="258"/>
        <v/>
      </c>
      <c r="I187" s="388" t="str">
        <f t="shared" ca="1" si="258"/>
        <v/>
      </c>
      <c r="J187" s="388" t="str">
        <f t="shared" ca="1" si="258"/>
        <v/>
      </c>
      <c r="K187" s="388" t="str">
        <f t="shared" ca="1" si="258"/>
        <v/>
      </c>
      <c r="L187" s="388" t="str">
        <f t="shared" ca="1" si="258"/>
        <v/>
      </c>
      <c r="M187" s="388" t="str">
        <f t="shared" ca="1" si="258"/>
        <v/>
      </c>
      <c r="N187" s="388" t="str">
        <f t="shared" ca="1" si="258"/>
        <v/>
      </c>
      <c r="O187" s="388" t="str">
        <f t="shared" ca="1" si="258"/>
        <v/>
      </c>
      <c r="P187" s="389" t="str">
        <f t="shared" ca="1" si="258"/>
        <v/>
      </c>
      <c r="Q187" s="362">
        <f t="shared" ref="Q187:V187" ca="1" si="259">SUMIF($C$4:$P$4,"="&amp;Q$6,$C187:$P187)</f>
        <v>0</v>
      </c>
      <c r="R187" s="41">
        <f t="shared" ca="1" si="259"/>
        <v>0</v>
      </c>
      <c r="S187" s="41">
        <f t="shared" ca="1" si="259"/>
        <v>0</v>
      </c>
      <c r="T187" s="41">
        <f t="shared" ca="1" si="259"/>
        <v>0</v>
      </c>
      <c r="U187" s="41">
        <f t="shared" ca="1" si="259"/>
        <v>0</v>
      </c>
      <c r="V187" s="41">
        <f t="shared" ca="1" si="259"/>
        <v>0</v>
      </c>
      <c r="W187" s="264">
        <f ca="1">SUM(Q187:V187)</f>
        <v>0</v>
      </c>
    </row>
    <row r="188" spans="1:23" x14ac:dyDescent="0.25">
      <c r="A188" s="278"/>
      <c r="B188" s="412"/>
      <c r="C188" s="379"/>
      <c r="D188" s="380"/>
      <c r="E188" s="380"/>
      <c r="F188" s="380"/>
      <c r="G188" s="380"/>
      <c r="H188" s="380"/>
      <c r="I188" s="380"/>
      <c r="J188" s="380"/>
      <c r="K188" s="380"/>
      <c r="L188" s="380"/>
      <c r="M188" s="380"/>
      <c r="N188" s="380"/>
      <c r="O188" s="380"/>
      <c r="P188" s="422"/>
      <c r="Q188" s="262"/>
      <c r="R188" s="51"/>
      <c r="S188" s="51"/>
      <c r="T188" s="51"/>
      <c r="U188" s="51"/>
      <c r="V188" s="51"/>
      <c r="W188" s="265"/>
    </row>
    <row r="189" spans="1:23" ht="15.75" thickBot="1" x14ac:dyDescent="0.3">
      <c r="A189" s="281" t="s">
        <v>127</v>
      </c>
      <c r="B189" s="385"/>
      <c r="C189" s="377"/>
      <c r="D189" s="378"/>
      <c r="E189" s="378"/>
      <c r="F189" s="378"/>
      <c r="G189" s="378"/>
      <c r="H189" s="378"/>
      <c r="I189" s="378"/>
      <c r="J189" s="378"/>
      <c r="K189" s="378"/>
      <c r="L189" s="378"/>
      <c r="M189" s="378"/>
      <c r="N189" s="378"/>
      <c r="O189" s="378"/>
      <c r="P189" s="421"/>
      <c r="Q189" s="262"/>
      <c r="R189" s="51"/>
      <c r="S189" s="51"/>
      <c r="T189" s="51"/>
      <c r="U189" s="51"/>
      <c r="V189" s="51"/>
      <c r="W189" s="265"/>
    </row>
    <row r="190" spans="1:23" x14ac:dyDescent="0.25">
      <c r="A190" s="280" t="str">
        <f>'User Defined Factors'!A18</f>
        <v>User-defined material #1</v>
      </c>
      <c r="B190" s="385" t="str">
        <f>'User Defined Factors'!B18</f>
        <v>TBD</v>
      </c>
      <c r="C190" s="381">
        <f ca="1">IFERROR(INDIRECT(CONCATENATE("'",C$6,"'!",ADDRESS(ROW(A187)+208,6,4))),"")</f>
        <v>0</v>
      </c>
      <c r="D190" s="382" t="str">
        <f t="shared" ref="D190:P190" ca="1" si="260">IFERROR(INDIRECT(CONCATENATE("'",D$6,"'!",ADDRESS(ROW(B187)+208,6,4))),"")</f>
        <v/>
      </c>
      <c r="E190" s="382" t="str">
        <f t="shared" ca="1" si="260"/>
        <v/>
      </c>
      <c r="F190" s="382" t="str">
        <f t="shared" ca="1" si="260"/>
        <v/>
      </c>
      <c r="G190" s="382" t="str">
        <f t="shared" ca="1" si="260"/>
        <v/>
      </c>
      <c r="H190" s="382" t="str">
        <f t="shared" ca="1" si="260"/>
        <v/>
      </c>
      <c r="I190" s="382" t="str">
        <f t="shared" ca="1" si="260"/>
        <v/>
      </c>
      <c r="J190" s="382" t="str">
        <f t="shared" ca="1" si="260"/>
        <v/>
      </c>
      <c r="K190" s="382" t="str">
        <f t="shared" ca="1" si="260"/>
        <v/>
      </c>
      <c r="L190" s="382" t="str">
        <f t="shared" ca="1" si="260"/>
        <v/>
      </c>
      <c r="M190" s="382" t="str">
        <f t="shared" ca="1" si="260"/>
        <v/>
      </c>
      <c r="N190" s="382" t="str">
        <f t="shared" ca="1" si="260"/>
        <v/>
      </c>
      <c r="O190" s="382" t="str">
        <f t="shared" ca="1" si="260"/>
        <v/>
      </c>
      <c r="P190" s="383" t="str">
        <f t="shared" ca="1" si="260"/>
        <v/>
      </c>
      <c r="Q190" s="362">
        <f t="shared" ref="Q190:V205" ca="1" si="261">SUMIF($C$4:$P$4,"="&amp;Q$6,$C190:$P190)</f>
        <v>0</v>
      </c>
      <c r="R190" s="41">
        <f t="shared" ca="1" si="261"/>
        <v>0</v>
      </c>
      <c r="S190" s="41">
        <f t="shared" ca="1" si="261"/>
        <v>0</v>
      </c>
      <c r="T190" s="41">
        <f t="shared" ca="1" si="261"/>
        <v>0</v>
      </c>
      <c r="U190" s="41">
        <f t="shared" ca="1" si="261"/>
        <v>0</v>
      </c>
      <c r="V190" s="41">
        <f t="shared" ca="1" si="261"/>
        <v>0</v>
      </c>
      <c r="W190" s="264">
        <f t="shared" ref="W190:W209" ca="1" si="262">SUM(Q190:V190)</f>
        <v>0</v>
      </c>
    </row>
    <row r="191" spans="1:23" x14ac:dyDescent="0.25">
      <c r="A191" s="280" t="str">
        <f>'User Defined Factors'!A19</f>
        <v>User-defined material #2</v>
      </c>
      <c r="B191" s="385" t="str">
        <f>'User Defined Factors'!B19</f>
        <v>TBD</v>
      </c>
      <c r="C191" s="263">
        <f t="shared" ref="C191:C209" ca="1" si="263">IFERROR(INDIRECT(CONCATENATE("'",C$6,"'!",ADDRESS(ROW(A188)+208,6,4))),"")</f>
        <v>0</v>
      </c>
      <c r="D191" s="41" t="str">
        <f t="shared" ref="D191:D209" ca="1" si="264">IFERROR(INDIRECT(CONCATENATE("'",D$6,"'!",ADDRESS(ROW(B188)+208,6,4))),"")</f>
        <v/>
      </c>
      <c r="E191" s="41" t="str">
        <f t="shared" ref="E191:E209" ca="1" si="265">IFERROR(INDIRECT(CONCATENATE("'",E$6,"'!",ADDRESS(ROW(C188)+208,6,4))),"")</f>
        <v/>
      </c>
      <c r="F191" s="41" t="str">
        <f t="shared" ref="F191:F209" ca="1" si="266">IFERROR(INDIRECT(CONCATENATE("'",F$6,"'!",ADDRESS(ROW(D188)+208,6,4))),"")</f>
        <v/>
      </c>
      <c r="G191" s="41" t="str">
        <f t="shared" ref="G191:G209" ca="1" si="267">IFERROR(INDIRECT(CONCATENATE("'",G$6,"'!",ADDRESS(ROW(E188)+208,6,4))),"")</f>
        <v/>
      </c>
      <c r="H191" s="41" t="str">
        <f t="shared" ref="H191:H209" ca="1" si="268">IFERROR(INDIRECT(CONCATENATE("'",H$6,"'!",ADDRESS(ROW(F188)+208,6,4))),"")</f>
        <v/>
      </c>
      <c r="I191" s="41" t="str">
        <f t="shared" ref="I191:I209" ca="1" si="269">IFERROR(INDIRECT(CONCATENATE("'",I$6,"'!",ADDRESS(ROW(G188)+208,6,4))),"")</f>
        <v/>
      </c>
      <c r="J191" s="41" t="str">
        <f t="shared" ref="J191:J209" ca="1" si="270">IFERROR(INDIRECT(CONCATENATE("'",J$6,"'!",ADDRESS(ROW(H188)+208,6,4))),"")</f>
        <v/>
      </c>
      <c r="K191" s="41" t="str">
        <f t="shared" ref="K191:K209" ca="1" si="271">IFERROR(INDIRECT(CONCATENATE("'",K$6,"'!",ADDRESS(ROW(I188)+208,6,4))),"")</f>
        <v/>
      </c>
      <c r="L191" s="41" t="str">
        <f t="shared" ref="L191:L209" ca="1" si="272">IFERROR(INDIRECT(CONCATENATE("'",L$6,"'!",ADDRESS(ROW(J188)+208,6,4))),"")</f>
        <v/>
      </c>
      <c r="M191" s="41" t="str">
        <f t="shared" ref="M191:M209" ca="1" si="273">IFERROR(INDIRECT(CONCATENATE("'",M$6,"'!",ADDRESS(ROW(K188)+208,6,4))),"")</f>
        <v/>
      </c>
      <c r="N191" s="41" t="str">
        <f t="shared" ref="N191:N209" ca="1" si="274">IFERROR(INDIRECT(CONCATENATE("'",N$6,"'!",ADDRESS(ROW(L188)+208,6,4))),"")</f>
        <v/>
      </c>
      <c r="O191" s="41" t="str">
        <f t="shared" ref="O191:O209" ca="1" si="275">IFERROR(INDIRECT(CONCATENATE("'",O$6,"'!",ADDRESS(ROW(M188)+208,6,4))),"")</f>
        <v/>
      </c>
      <c r="P191" s="264" t="str">
        <f t="shared" ref="P191:P209" ca="1" si="276">IFERROR(INDIRECT(CONCATENATE("'",P$6,"'!",ADDRESS(ROW(N188)+208,6,4))),"")</f>
        <v/>
      </c>
      <c r="Q191" s="362">
        <f t="shared" ca="1" si="261"/>
        <v>0</v>
      </c>
      <c r="R191" s="41">
        <f t="shared" ca="1" si="261"/>
        <v>0</v>
      </c>
      <c r="S191" s="41">
        <f t="shared" ca="1" si="261"/>
        <v>0</v>
      </c>
      <c r="T191" s="41">
        <f t="shared" ca="1" si="261"/>
        <v>0</v>
      </c>
      <c r="U191" s="41">
        <f t="shared" ca="1" si="261"/>
        <v>0</v>
      </c>
      <c r="V191" s="41">
        <f t="shared" ca="1" si="261"/>
        <v>0</v>
      </c>
      <c r="W191" s="264">
        <f t="shared" ca="1" si="262"/>
        <v>0</v>
      </c>
    </row>
    <row r="192" spans="1:23" x14ac:dyDescent="0.25">
      <c r="A192" s="280" t="str">
        <f>'User Defined Factors'!A20</f>
        <v>User-defined material #3</v>
      </c>
      <c r="B192" s="385" t="str">
        <f>'User Defined Factors'!B20</f>
        <v>TBD</v>
      </c>
      <c r="C192" s="263">
        <f t="shared" ca="1" si="263"/>
        <v>0</v>
      </c>
      <c r="D192" s="41" t="str">
        <f t="shared" ca="1" si="264"/>
        <v/>
      </c>
      <c r="E192" s="41" t="str">
        <f t="shared" ca="1" si="265"/>
        <v/>
      </c>
      <c r="F192" s="41" t="str">
        <f t="shared" ca="1" si="266"/>
        <v/>
      </c>
      <c r="G192" s="41" t="str">
        <f t="shared" ca="1" si="267"/>
        <v/>
      </c>
      <c r="H192" s="41" t="str">
        <f t="shared" ca="1" si="268"/>
        <v/>
      </c>
      <c r="I192" s="41" t="str">
        <f t="shared" ca="1" si="269"/>
        <v/>
      </c>
      <c r="J192" s="41" t="str">
        <f t="shared" ca="1" si="270"/>
        <v/>
      </c>
      <c r="K192" s="41" t="str">
        <f t="shared" ca="1" si="271"/>
        <v/>
      </c>
      <c r="L192" s="41" t="str">
        <f t="shared" ca="1" si="272"/>
        <v/>
      </c>
      <c r="M192" s="41" t="str">
        <f t="shared" ca="1" si="273"/>
        <v/>
      </c>
      <c r="N192" s="41" t="str">
        <f t="shared" ca="1" si="274"/>
        <v/>
      </c>
      <c r="O192" s="41" t="str">
        <f t="shared" ca="1" si="275"/>
        <v/>
      </c>
      <c r="P192" s="264" t="str">
        <f t="shared" ca="1" si="276"/>
        <v/>
      </c>
      <c r="Q192" s="362">
        <f t="shared" ca="1" si="261"/>
        <v>0</v>
      </c>
      <c r="R192" s="41">
        <f t="shared" ca="1" si="261"/>
        <v>0</v>
      </c>
      <c r="S192" s="41">
        <f t="shared" ca="1" si="261"/>
        <v>0</v>
      </c>
      <c r="T192" s="41">
        <f t="shared" ca="1" si="261"/>
        <v>0</v>
      </c>
      <c r="U192" s="41">
        <f t="shared" ca="1" si="261"/>
        <v>0</v>
      </c>
      <c r="V192" s="41">
        <f t="shared" ca="1" si="261"/>
        <v>0</v>
      </c>
      <c r="W192" s="264">
        <f t="shared" ca="1" si="262"/>
        <v>0</v>
      </c>
    </row>
    <row r="193" spans="1:23" x14ac:dyDescent="0.25">
      <c r="A193" s="280" t="str">
        <f>'User Defined Factors'!A21</f>
        <v>User-defined material #4</v>
      </c>
      <c r="B193" s="385" t="str">
        <f>'User Defined Factors'!B21</f>
        <v>TBD</v>
      </c>
      <c r="C193" s="263">
        <f t="shared" ca="1" si="263"/>
        <v>0</v>
      </c>
      <c r="D193" s="41" t="str">
        <f t="shared" ca="1" si="264"/>
        <v/>
      </c>
      <c r="E193" s="41" t="str">
        <f t="shared" ca="1" si="265"/>
        <v/>
      </c>
      <c r="F193" s="41" t="str">
        <f t="shared" ca="1" si="266"/>
        <v/>
      </c>
      <c r="G193" s="41" t="str">
        <f t="shared" ca="1" si="267"/>
        <v/>
      </c>
      <c r="H193" s="41" t="str">
        <f t="shared" ca="1" si="268"/>
        <v/>
      </c>
      <c r="I193" s="41" t="str">
        <f t="shared" ca="1" si="269"/>
        <v/>
      </c>
      <c r="J193" s="41" t="str">
        <f t="shared" ca="1" si="270"/>
        <v/>
      </c>
      <c r="K193" s="41" t="str">
        <f t="shared" ca="1" si="271"/>
        <v/>
      </c>
      <c r="L193" s="41" t="str">
        <f t="shared" ca="1" si="272"/>
        <v/>
      </c>
      <c r="M193" s="41" t="str">
        <f t="shared" ca="1" si="273"/>
        <v/>
      </c>
      <c r="N193" s="41" t="str">
        <f t="shared" ca="1" si="274"/>
        <v/>
      </c>
      <c r="O193" s="41" t="str">
        <f t="shared" ca="1" si="275"/>
        <v/>
      </c>
      <c r="P193" s="264" t="str">
        <f t="shared" ca="1" si="276"/>
        <v/>
      </c>
      <c r="Q193" s="362">
        <f t="shared" ca="1" si="261"/>
        <v>0</v>
      </c>
      <c r="R193" s="41">
        <f t="shared" ca="1" si="261"/>
        <v>0</v>
      </c>
      <c r="S193" s="41">
        <f t="shared" ca="1" si="261"/>
        <v>0</v>
      </c>
      <c r="T193" s="41">
        <f t="shared" ca="1" si="261"/>
        <v>0</v>
      </c>
      <c r="U193" s="41">
        <f t="shared" ca="1" si="261"/>
        <v>0</v>
      </c>
      <c r="V193" s="41">
        <f t="shared" ca="1" si="261"/>
        <v>0</v>
      </c>
      <c r="W193" s="264">
        <f t="shared" ca="1" si="262"/>
        <v>0</v>
      </c>
    </row>
    <row r="194" spans="1:23" x14ac:dyDescent="0.25">
      <c r="A194" s="280" t="str">
        <f>'User Defined Factors'!A22</f>
        <v>User-defined material #5</v>
      </c>
      <c r="B194" s="385" t="str">
        <f>'User Defined Factors'!B22</f>
        <v>TBD</v>
      </c>
      <c r="C194" s="263">
        <f t="shared" ca="1" si="263"/>
        <v>0</v>
      </c>
      <c r="D194" s="41" t="str">
        <f t="shared" ca="1" si="264"/>
        <v/>
      </c>
      <c r="E194" s="41" t="str">
        <f t="shared" ca="1" si="265"/>
        <v/>
      </c>
      <c r="F194" s="41" t="str">
        <f t="shared" ca="1" si="266"/>
        <v/>
      </c>
      <c r="G194" s="41" t="str">
        <f t="shared" ca="1" si="267"/>
        <v/>
      </c>
      <c r="H194" s="41" t="str">
        <f t="shared" ca="1" si="268"/>
        <v/>
      </c>
      <c r="I194" s="41" t="str">
        <f t="shared" ca="1" si="269"/>
        <v/>
      </c>
      <c r="J194" s="41" t="str">
        <f t="shared" ca="1" si="270"/>
        <v/>
      </c>
      <c r="K194" s="41" t="str">
        <f t="shared" ca="1" si="271"/>
        <v/>
      </c>
      <c r="L194" s="41" t="str">
        <f t="shared" ca="1" si="272"/>
        <v/>
      </c>
      <c r="M194" s="41" t="str">
        <f t="shared" ca="1" si="273"/>
        <v/>
      </c>
      <c r="N194" s="41" t="str">
        <f t="shared" ca="1" si="274"/>
        <v/>
      </c>
      <c r="O194" s="41" t="str">
        <f t="shared" ca="1" si="275"/>
        <v/>
      </c>
      <c r="P194" s="264" t="str">
        <f t="shared" ca="1" si="276"/>
        <v/>
      </c>
      <c r="Q194" s="362">
        <f t="shared" ca="1" si="261"/>
        <v>0</v>
      </c>
      <c r="R194" s="41">
        <f t="shared" ca="1" si="261"/>
        <v>0</v>
      </c>
      <c r="S194" s="41">
        <f t="shared" ca="1" si="261"/>
        <v>0</v>
      </c>
      <c r="T194" s="41">
        <f t="shared" ca="1" si="261"/>
        <v>0</v>
      </c>
      <c r="U194" s="41">
        <f t="shared" ca="1" si="261"/>
        <v>0</v>
      </c>
      <c r="V194" s="41">
        <f t="shared" ca="1" si="261"/>
        <v>0</v>
      </c>
      <c r="W194" s="264">
        <f t="shared" ca="1" si="262"/>
        <v>0</v>
      </c>
    </row>
    <row r="195" spans="1:23" x14ac:dyDescent="0.25">
      <c r="A195" s="280" t="str">
        <f>'User Defined Factors'!A23</f>
        <v>User-defined material #6</v>
      </c>
      <c r="B195" s="385" t="str">
        <f>'User Defined Factors'!B23</f>
        <v>TBD</v>
      </c>
      <c r="C195" s="263">
        <f t="shared" ca="1" si="263"/>
        <v>0</v>
      </c>
      <c r="D195" s="41" t="str">
        <f t="shared" ca="1" si="264"/>
        <v/>
      </c>
      <c r="E195" s="41" t="str">
        <f t="shared" ca="1" si="265"/>
        <v/>
      </c>
      <c r="F195" s="41" t="str">
        <f t="shared" ca="1" si="266"/>
        <v/>
      </c>
      <c r="G195" s="41" t="str">
        <f t="shared" ca="1" si="267"/>
        <v/>
      </c>
      <c r="H195" s="41" t="str">
        <f t="shared" ca="1" si="268"/>
        <v/>
      </c>
      <c r="I195" s="41" t="str">
        <f t="shared" ca="1" si="269"/>
        <v/>
      </c>
      <c r="J195" s="41" t="str">
        <f t="shared" ca="1" si="270"/>
        <v/>
      </c>
      <c r="K195" s="41" t="str">
        <f t="shared" ca="1" si="271"/>
        <v/>
      </c>
      <c r="L195" s="41" t="str">
        <f t="shared" ca="1" si="272"/>
        <v/>
      </c>
      <c r="M195" s="41" t="str">
        <f t="shared" ca="1" si="273"/>
        <v/>
      </c>
      <c r="N195" s="41" t="str">
        <f t="shared" ca="1" si="274"/>
        <v/>
      </c>
      <c r="O195" s="41" t="str">
        <f t="shared" ca="1" si="275"/>
        <v/>
      </c>
      <c r="P195" s="264" t="str">
        <f t="shared" ca="1" si="276"/>
        <v/>
      </c>
      <c r="Q195" s="362">
        <f t="shared" ca="1" si="261"/>
        <v>0</v>
      </c>
      <c r="R195" s="41">
        <f t="shared" ca="1" si="261"/>
        <v>0</v>
      </c>
      <c r="S195" s="41">
        <f t="shared" ca="1" si="261"/>
        <v>0</v>
      </c>
      <c r="T195" s="41">
        <f t="shared" ca="1" si="261"/>
        <v>0</v>
      </c>
      <c r="U195" s="41">
        <f t="shared" ca="1" si="261"/>
        <v>0</v>
      </c>
      <c r="V195" s="41">
        <f t="shared" ca="1" si="261"/>
        <v>0</v>
      </c>
      <c r="W195" s="264">
        <f t="shared" ca="1" si="262"/>
        <v>0</v>
      </c>
    </row>
    <row r="196" spans="1:23" x14ac:dyDescent="0.25">
      <c r="A196" s="280" t="str">
        <f>'User Defined Factors'!A24</f>
        <v>User-defined material #7</v>
      </c>
      <c r="B196" s="385" t="str">
        <f>'User Defined Factors'!B24</f>
        <v>TBD</v>
      </c>
      <c r="C196" s="263">
        <f t="shared" ca="1" si="263"/>
        <v>0</v>
      </c>
      <c r="D196" s="41" t="str">
        <f t="shared" ca="1" si="264"/>
        <v/>
      </c>
      <c r="E196" s="41" t="str">
        <f t="shared" ca="1" si="265"/>
        <v/>
      </c>
      <c r="F196" s="41" t="str">
        <f t="shared" ca="1" si="266"/>
        <v/>
      </c>
      <c r="G196" s="41" t="str">
        <f t="shared" ca="1" si="267"/>
        <v/>
      </c>
      <c r="H196" s="41" t="str">
        <f t="shared" ca="1" si="268"/>
        <v/>
      </c>
      <c r="I196" s="41" t="str">
        <f t="shared" ca="1" si="269"/>
        <v/>
      </c>
      <c r="J196" s="41" t="str">
        <f t="shared" ca="1" si="270"/>
        <v/>
      </c>
      <c r="K196" s="41" t="str">
        <f t="shared" ca="1" si="271"/>
        <v/>
      </c>
      <c r="L196" s="41" t="str">
        <f t="shared" ca="1" si="272"/>
        <v/>
      </c>
      <c r="M196" s="41" t="str">
        <f t="shared" ca="1" si="273"/>
        <v/>
      </c>
      <c r="N196" s="41" t="str">
        <f t="shared" ca="1" si="274"/>
        <v/>
      </c>
      <c r="O196" s="41" t="str">
        <f t="shared" ca="1" si="275"/>
        <v/>
      </c>
      <c r="P196" s="264" t="str">
        <f t="shared" ca="1" si="276"/>
        <v/>
      </c>
      <c r="Q196" s="362">
        <f t="shared" ca="1" si="261"/>
        <v>0</v>
      </c>
      <c r="R196" s="41">
        <f t="shared" ca="1" si="261"/>
        <v>0</v>
      </c>
      <c r="S196" s="41">
        <f t="shared" ca="1" si="261"/>
        <v>0</v>
      </c>
      <c r="T196" s="41">
        <f t="shared" ca="1" si="261"/>
        <v>0</v>
      </c>
      <c r="U196" s="41">
        <f t="shared" ca="1" si="261"/>
        <v>0</v>
      </c>
      <c r="V196" s="41">
        <f t="shared" ca="1" si="261"/>
        <v>0</v>
      </c>
      <c r="W196" s="264">
        <f t="shared" ca="1" si="262"/>
        <v>0</v>
      </c>
    </row>
    <row r="197" spans="1:23" x14ac:dyDescent="0.25">
      <c r="A197" s="280" t="str">
        <f>'User Defined Factors'!A25</f>
        <v>User-defined material #8</v>
      </c>
      <c r="B197" s="385" t="str">
        <f>'User Defined Factors'!B25</f>
        <v>TBD</v>
      </c>
      <c r="C197" s="263">
        <f t="shared" ca="1" si="263"/>
        <v>0</v>
      </c>
      <c r="D197" s="41" t="str">
        <f t="shared" ca="1" si="264"/>
        <v/>
      </c>
      <c r="E197" s="41" t="str">
        <f t="shared" ca="1" si="265"/>
        <v/>
      </c>
      <c r="F197" s="41" t="str">
        <f t="shared" ca="1" si="266"/>
        <v/>
      </c>
      <c r="G197" s="41" t="str">
        <f t="shared" ca="1" si="267"/>
        <v/>
      </c>
      <c r="H197" s="41" t="str">
        <f t="shared" ca="1" si="268"/>
        <v/>
      </c>
      <c r="I197" s="41" t="str">
        <f t="shared" ca="1" si="269"/>
        <v/>
      </c>
      <c r="J197" s="41" t="str">
        <f t="shared" ca="1" si="270"/>
        <v/>
      </c>
      <c r="K197" s="41" t="str">
        <f t="shared" ca="1" si="271"/>
        <v/>
      </c>
      <c r="L197" s="41" t="str">
        <f t="shared" ca="1" si="272"/>
        <v/>
      </c>
      <c r="M197" s="41" t="str">
        <f t="shared" ca="1" si="273"/>
        <v/>
      </c>
      <c r="N197" s="41" t="str">
        <f t="shared" ca="1" si="274"/>
        <v/>
      </c>
      <c r="O197" s="41" t="str">
        <f t="shared" ca="1" si="275"/>
        <v/>
      </c>
      <c r="P197" s="264" t="str">
        <f t="shared" ca="1" si="276"/>
        <v/>
      </c>
      <c r="Q197" s="362">
        <f t="shared" ca="1" si="261"/>
        <v>0</v>
      </c>
      <c r="R197" s="41">
        <f t="shared" ca="1" si="261"/>
        <v>0</v>
      </c>
      <c r="S197" s="41">
        <f t="shared" ca="1" si="261"/>
        <v>0</v>
      </c>
      <c r="T197" s="41">
        <f t="shared" ca="1" si="261"/>
        <v>0</v>
      </c>
      <c r="U197" s="41">
        <f t="shared" ca="1" si="261"/>
        <v>0</v>
      </c>
      <c r="V197" s="41">
        <f t="shared" ca="1" si="261"/>
        <v>0</v>
      </c>
      <c r="W197" s="264">
        <f t="shared" ca="1" si="262"/>
        <v>0</v>
      </c>
    </row>
    <row r="198" spans="1:23" x14ac:dyDescent="0.25">
      <c r="A198" s="280" t="str">
        <f>'User Defined Factors'!A26</f>
        <v>User-defined material #9</v>
      </c>
      <c r="B198" s="385" t="str">
        <f>'User Defined Factors'!B26</f>
        <v>TBD</v>
      </c>
      <c r="C198" s="263">
        <f t="shared" ca="1" si="263"/>
        <v>0</v>
      </c>
      <c r="D198" s="41" t="str">
        <f t="shared" ca="1" si="264"/>
        <v/>
      </c>
      <c r="E198" s="41" t="str">
        <f t="shared" ca="1" si="265"/>
        <v/>
      </c>
      <c r="F198" s="41" t="str">
        <f t="shared" ca="1" si="266"/>
        <v/>
      </c>
      <c r="G198" s="41" t="str">
        <f t="shared" ca="1" si="267"/>
        <v/>
      </c>
      <c r="H198" s="41" t="str">
        <f t="shared" ca="1" si="268"/>
        <v/>
      </c>
      <c r="I198" s="41" t="str">
        <f t="shared" ca="1" si="269"/>
        <v/>
      </c>
      <c r="J198" s="41" t="str">
        <f t="shared" ca="1" si="270"/>
        <v/>
      </c>
      <c r="K198" s="41" t="str">
        <f t="shared" ca="1" si="271"/>
        <v/>
      </c>
      <c r="L198" s="41" t="str">
        <f t="shared" ca="1" si="272"/>
        <v/>
      </c>
      <c r="M198" s="41" t="str">
        <f t="shared" ca="1" si="273"/>
        <v/>
      </c>
      <c r="N198" s="41" t="str">
        <f t="shared" ca="1" si="274"/>
        <v/>
      </c>
      <c r="O198" s="41" t="str">
        <f t="shared" ca="1" si="275"/>
        <v/>
      </c>
      <c r="P198" s="264" t="str">
        <f t="shared" ca="1" si="276"/>
        <v/>
      </c>
      <c r="Q198" s="362">
        <f t="shared" ca="1" si="261"/>
        <v>0</v>
      </c>
      <c r="R198" s="41">
        <f t="shared" ca="1" si="261"/>
        <v>0</v>
      </c>
      <c r="S198" s="41">
        <f t="shared" ca="1" si="261"/>
        <v>0</v>
      </c>
      <c r="T198" s="41">
        <f t="shared" ca="1" si="261"/>
        <v>0</v>
      </c>
      <c r="U198" s="41">
        <f t="shared" ca="1" si="261"/>
        <v>0</v>
      </c>
      <c r="V198" s="41">
        <f t="shared" ca="1" si="261"/>
        <v>0</v>
      </c>
      <c r="W198" s="264">
        <f t="shared" ca="1" si="262"/>
        <v>0</v>
      </c>
    </row>
    <row r="199" spans="1:23" x14ac:dyDescent="0.25">
      <c r="A199" s="280" t="str">
        <f>'User Defined Factors'!A27</f>
        <v>User-defined material #10</v>
      </c>
      <c r="B199" s="385" t="str">
        <f>'User Defined Factors'!B27</f>
        <v>TBD</v>
      </c>
      <c r="C199" s="263">
        <f t="shared" ca="1" si="263"/>
        <v>0</v>
      </c>
      <c r="D199" s="41" t="str">
        <f t="shared" ca="1" si="264"/>
        <v/>
      </c>
      <c r="E199" s="41" t="str">
        <f t="shared" ca="1" si="265"/>
        <v/>
      </c>
      <c r="F199" s="41" t="str">
        <f t="shared" ca="1" si="266"/>
        <v/>
      </c>
      <c r="G199" s="41" t="str">
        <f t="shared" ca="1" si="267"/>
        <v/>
      </c>
      <c r="H199" s="41" t="str">
        <f t="shared" ca="1" si="268"/>
        <v/>
      </c>
      <c r="I199" s="41" t="str">
        <f t="shared" ca="1" si="269"/>
        <v/>
      </c>
      <c r="J199" s="41" t="str">
        <f t="shared" ca="1" si="270"/>
        <v/>
      </c>
      <c r="K199" s="41" t="str">
        <f t="shared" ca="1" si="271"/>
        <v/>
      </c>
      <c r="L199" s="41" t="str">
        <f t="shared" ca="1" si="272"/>
        <v/>
      </c>
      <c r="M199" s="41" t="str">
        <f t="shared" ca="1" si="273"/>
        <v/>
      </c>
      <c r="N199" s="41" t="str">
        <f t="shared" ca="1" si="274"/>
        <v/>
      </c>
      <c r="O199" s="41" t="str">
        <f t="shared" ca="1" si="275"/>
        <v/>
      </c>
      <c r="P199" s="264" t="str">
        <f t="shared" ca="1" si="276"/>
        <v/>
      </c>
      <c r="Q199" s="362">
        <f t="shared" ca="1" si="261"/>
        <v>0</v>
      </c>
      <c r="R199" s="41">
        <f t="shared" ca="1" si="261"/>
        <v>0</v>
      </c>
      <c r="S199" s="41">
        <f t="shared" ca="1" si="261"/>
        <v>0</v>
      </c>
      <c r="T199" s="41">
        <f t="shared" ca="1" si="261"/>
        <v>0</v>
      </c>
      <c r="U199" s="41">
        <f t="shared" ca="1" si="261"/>
        <v>0</v>
      </c>
      <c r="V199" s="41">
        <f t="shared" ca="1" si="261"/>
        <v>0</v>
      </c>
      <c r="W199" s="264">
        <f t="shared" ca="1" si="262"/>
        <v>0</v>
      </c>
    </row>
    <row r="200" spans="1:23" x14ac:dyDescent="0.25">
      <c r="A200" s="280" t="str">
        <f>'User Defined Factors'!A28</f>
        <v>User-defined material #11</v>
      </c>
      <c r="B200" s="385" t="str">
        <f>'User Defined Factors'!B28</f>
        <v>TBD</v>
      </c>
      <c r="C200" s="263">
        <f t="shared" ca="1" si="263"/>
        <v>0</v>
      </c>
      <c r="D200" s="41" t="str">
        <f t="shared" ca="1" si="264"/>
        <v/>
      </c>
      <c r="E200" s="41" t="str">
        <f t="shared" ca="1" si="265"/>
        <v/>
      </c>
      <c r="F200" s="41" t="str">
        <f t="shared" ca="1" si="266"/>
        <v/>
      </c>
      <c r="G200" s="41" t="str">
        <f t="shared" ca="1" si="267"/>
        <v/>
      </c>
      <c r="H200" s="41" t="str">
        <f t="shared" ca="1" si="268"/>
        <v/>
      </c>
      <c r="I200" s="41" t="str">
        <f t="shared" ca="1" si="269"/>
        <v/>
      </c>
      <c r="J200" s="41" t="str">
        <f t="shared" ca="1" si="270"/>
        <v/>
      </c>
      <c r="K200" s="41" t="str">
        <f t="shared" ca="1" si="271"/>
        <v/>
      </c>
      <c r="L200" s="41" t="str">
        <f t="shared" ca="1" si="272"/>
        <v/>
      </c>
      <c r="M200" s="41" t="str">
        <f t="shared" ca="1" si="273"/>
        <v/>
      </c>
      <c r="N200" s="41" t="str">
        <f t="shared" ca="1" si="274"/>
        <v/>
      </c>
      <c r="O200" s="41" t="str">
        <f t="shared" ca="1" si="275"/>
        <v/>
      </c>
      <c r="P200" s="264" t="str">
        <f t="shared" ca="1" si="276"/>
        <v/>
      </c>
      <c r="Q200" s="362">
        <f t="shared" ca="1" si="261"/>
        <v>0</v>
      </c>
      <c r="R200" s="41">
        <f t="shared" ca="1" si="261"/>
        <v>0</v>
      </c>
      <c r="S200" s="41">
        <f t="shared" ca="1" si="261"/>
        <v>0</v>
      </c>
      <c r="T200" s="41">
        <f t="shared" ca="1" si="261"/>
        <v>0</v>
      </c>
      <c r="U200" s="41">
        <f t="shared" ca="1" si="261"/>
        <v>0</v>
      </c>
      <c r="V200" s="41">
        <f t="shared" ca="1" si="261"/>
        <v>0</v>
      </c>
      <c r="W200" s="264">
        <f t="shared" ca="1" si="262"/>
        <v>0</v>
      </c>
    </row>
    <row r="201" spans="1:23" x14ac:dyDescent="0.25">
      <c r="A201" s="280" t="str">
        <f>'User Defined Factors'!A29</f>
        <v>User-defined material #12</v>
      </c>
      <c r="B201" s="385" t="str">
        <f>'User Defined Factors'!B29</f>
        <v>TBD</v>
      </c>
      <c r="C201" s="263">
        <f t="shared" ca="1" si="263"/>
        <v>0</v>
      </c>
      <c r="D201" s="41" t="str">
        <f t="shared" ca="1" si="264"/>
        <v/>
      </c>
      <c r="E201" s="41" t="str">
        <f t="shared" ca="1" si="265"/>
        <v/>
      </c>
      <c r="F201" s="41" t="str">
        <f t="shared" ca="1" si="266"/>
        <v/>
      </c>
      <c r="G201" s="41" t="str">
        <f t="shared" ca="1" si="267"/>
        <v/>
      </c>
      <c r="H201" s="41" t="str">
        <f t="shared" ca="1" si="268"/>
        <v/>
      </c>
      <c r="I201" s="41" t="str">
        <f t="shared" ca="1" si="269"/>
        <v/>
      </c>
      <c r="J201" s="41" t="str">
        <f t="shared" ca="1" si="270"/>
        <v/>
      </c>
      <c r="K201" s="41" t="str">
        <f t="shared" ca="1" si="271"/>
        <v/>
      </c>
      <c r="L201" s="41" t="str">
        <f t="shared" ca="1" si="272"/>
        <v/>
      </c>
      <c r="M201" s="41" t="str">
        <f t="shared" ca="1" si="273"/>
        <v/>
      </c>
      <c r="N201" s="41" t="str">
        <f t="shared" ca="1" si="274"/>
        <v/>
      </c>
      <c r="O201" s="41" t="str">
        <f t="shared" ca="1" si="275"/>
        <v/>
      </c>
      <c r="P201" s="264" t="str">
        <f t="shared" ca="1" si="276"/>
        <v/>
      </c>
      <c r="Q201" s="362">
        <f t="shared" ca="1" si="261"/>
        <v>0</v>
      </c>
      <c r="R201" s="41">
        <f t="shared" ca="1" si="261"/>
        <v>0</v>
      </c>
      <c r="S201" s="41">
        <f t="shared" ca="1" si="261"/>
        <v>0</v>
      </c>
      <c r="T201" s="41">
        <f t="shared" ca="1" si="261"/>
        <v>0</v>
      </c>
      <c r="U201" s="41">
        <f t="shared" ca="1" si="261"/>
        <v>0</v>
      </c>
      <c r="V201" s="41">
        <f t="shared" ca="1" si="261"/>
        <v>0</v>
      </c>
      <c r="W201" s="264">
        <f t="shared" ca="1" si="262"/>
        <v>0</v>
      </c>
    </row>
    <row r="202" spans="1:23" x14ac:dyDescent="0.25">
      <c r="A202" s="280" t="str">
        <f>'User Defined Factors'!A30</f>
        <v>User-defined material #13</v>
      </c>
      <c r="B202" s="385" t="str">
        <f>'User Defined Factors'!B30</f>
        <v>TBD</v>
      </c>
      <c r="C202" s="263">
        <f t="shared" ca="1" si="263"/>
        <v>0</v>
      </c>
      <c r="D202" s="41" t="str">
        <f t="shared" ca="1" si="264"/>
        <v/>
      </c>
      <c r="E202" s="41" t="str">
        <f t="shared" ca="1" si="265"/>
        <v/>
      </c>
      <c r="F202" s="41" t="str">
        <f t="shared" ca="1" si="266"/>
        <v/>
      </c>
      <c r="G202" s="41" t="str">
        <f t="shared" ca="1" si="267"/>
        <v/>
      </c>
      <c r="H202" s="41" t="str">
        <f t="shared" ca="1" si="268"/>
        <v/>
      </c>
      <c r="I202" s="41" t="str">
        <f t="shared" ca="1" si="269"/>
        <v/>
      </c>
      <c r="J202" s="41" t="str">
        <f t="shared" ca="1" si="270"/>
        <v/>
      </c>
      <c r="K202" s="41" t="str">
        <f t="shared" ca="1" si="271"/>
        <v/>
      </c>
      <c r="L202" s="41" t="str">
        <f t="shared" ca="1" si="272"/>
        <v/>
      </c>
      <c r="M202" s="41" t="str">
        <f t="shared" ca="1" si="273"/>
        <v/>
      </c>
      <c r="N202" s="41" t="str">
        <f t="shared" ca="1" si="274"/>
        <v/>
      </c>
      <c r="O202" s="41" t="str">
        <f t="shared" ca="1" si="275"/>
        <v/>
      </c>
      <c r="P202" s="264" t="str">
        <f t="shared" ca="1" si="276"/>
        <v/>
      </c>
      <c r="Q202" s="362">
        <f t="shared" ca="1" si="261"/>
        <v>0</v>
      </c>
      <c r="R202" s="41">
        <f t="shared" ca="1" si="261"/>
        <v>0</v>
      </c>
      <c r="S202" s="41">
        <f t="shared" ca="1" si="261"/>
        <v>0</v>
      </c>
      <c r="T202" s="41">
        <f t="shared" ca="1" si="261"/>
        <v>0</v>
      </c>
      <c r="U202" s="41">
        <f t="shared" ca="1" si="261"/>
        <v>0</v>
      </c>
      <c r="V202" s="41">
        <f t="shared" ca="1" si="261"/>
        <v>0</v>
      </c>
      <c r="W202" s="264">
        <f t="shared" ca="1" si="262"/>
        <v>0</v>
      </c>
    </row>
    <row r="203" spans="1:23" x14ac:dyDescent="0.25">
      <c r="A203" s="280" t="str">
        <f>'User Defined Factors'!A31</f>
        <v>User-defined material #14</v>
      </c>
      <c r="B203" s="385" t="str">
        <f>'User Defined Factors'!B31</f>
        <v>TBD</v>
      </c>
      <c r="C203" s="263">
        <f t="shared" ca="1" si="263"/>
        <v>0</v>
      </c>
      <c r="D203" s="41" t="str">
        <f t="shared" ca="1" si="264"/>
        <v/>
      </c>
      <c r="E203" s="41" t="str">
        <f t="shared" ca="1" si="265"/>
        <v/>
      </c>
      <c r="F203" s="41" t="str">
        <f t="shared" ca="1" si="266"/>
        <v/>
      </c>
      <c r="G203" s="41" t="str">
        <f t="shared" ca="1" si="267"/>
        <v/>
      </c>
      <c r="H203" s="41" t="str">
        <f t="shared" ca="1" si="268"/>
        <v/>
      </c>
      <c r="I203" s="41" t="str">
        <f t="shared" ca="1" si="269"/>
        <v/>
      </c>
      <c r="J203" s="41" t="str">
        <f t="shared" ca="1" si="270"/>
        <v/>
      </c>
      <c r="K203" s="41" t="str">
        <f t="shared" ca="1" si="271"/>
        <v/>
      </c>
      <c r="L203" s="41" t="str">
        <f t="shared" ca="1" si="272"/>
        <v/>
      </c>
      <c r="M203" s="41" t="str">
        <f t="shared" ca="1" si="273"/>
        <v/>
      </c>
      <c r="N203" s="41" t="str">
        <f t="shared" ca="1" si="274"/>
        <v/>
      </c>
      <c r="O203" s="41" t="str">
        <f t="shared" ca="1" si="275"/>
        <v/>
      </c>
      <c r="P203" s="264" t="str">
        <f t="shared" ca="1" si="276"/>
        <v/>
      </c>
      <c r="Q203" s="362">
        <f t="shared" ca="1" si="261"/>
        <v>0</v>
      </c>
      <c r="R203" s="41">
        <f t="shared" ca="1" si="261"/>
        <v>0</v>
      </c>
      <c r="S203" s="41">
        <f t="shared" ca="1" si="261"/>
        <v>0</v>
      </c>
      <c r="T203" s="41">
        <f t="shared" ca="1" si="261"/>
        <v>0</v>
      </c>
      <c r="U203" s="41">
        <f t="shared" ca="1" si="261"/>
        <v>0</v>
      </c>
      <c r="V203" s="41">
        <f t="shared" ca="1" si="261"/>
        <v>0</v>
      </c>
      <c r="W203" s="264">
        <f t="shared" ca="1" si="262"/>
        <v>0</v>
      </c>
    </row>
    <row r="204" spans="1:23" x14ac:dyDescent="0.25">
      <c r="A204" s="280" t="str">
        <f>'User Defined Factors'!A32</f>
        <v>User-defined material #15</v>
      </c>
      <c r="B204" s="385" t="str">
        <f>'User Defined Factors'!B32</f>
        <v>TBD</v>
      </c>
      <c r="C204" s="263">
        <f t="shared" ca="1" si="263"/>
        <v>0</v>
      </c>
      <c r="D204" s="41" t="str">
        <f t="shared" ca="1" si="264"/>
        <v/>
      </c>
      <c r="E204" s="41" t="str">
        <f t="shared" ca="1" si="265"/>
        <v/>
      </c>
      <c r="F204" s="41" t="str">
        <f t="shared" ca="1" si="266"/>
        <v/>
      </c>
      <c r="G204" s="41" t="str">
        <f t="shared" ca="1" si="267"/>
        <v/>
      </c>
      <c r="H204" s="41" t="str">
        <f t="shared" ca="1" si="268"/>
        <v/>
      </c>
      <c r="I204" s="41" t="str">
        <f t="shared" ca="1" si="269"/>
        <v/>
      </c>
      <c r="J204" s="41" t="str">
        <f t="shared" ca="1" si="270"/>
        <v/>
      </c>
      <c r="K204" s="41" t="str">
        <f t="shared" ca="1" si="271"/>
        <v/>
      </c>
      <c r="L204" s="41" t="str">
        <f t="shared" ca="1" si="272"/>
        <v/>
      </c>
      <c r="M204" s="41" t="str">
        <f t="shared" ca="1" si="273"/>
        <v/>
      </c>
      <c r="N204" s="41" t="str">
        <f t="shared" ca="1" si="274"/>
        <v/>
      </c>
      <c r="O204" s="41" t="str">
        <f t="shared" ca="1" si="275"/>
        <v/>
      </c>
      <c r="P204" s="264" t="str">
        <f t="shared" ca="1" si="276"/>
        <v/>
      </c>
      <c r="Q204" s="362">
        <f t="shared" ca="1" si="261"/>
        <v>0</v>
      </c>
      <c r="R204" s="41">
        <f t="shared" ca="1" si="261"/>
        <v>0</v>
      </c>
      <c r="S204" s="41">
        <f t="shared" ca="1" si="261"/>
        <v>0</v>
      </c>
      <c r="T204" s="41">
        <f t="shared" ca="1" si="261"/>
        <v>0</v>
      </c>
      <c r="U204" s="41">
        <f t="shared" ca="1" si="261"/>
        <v>0</v>
      </c>
      <c r="V204" s="41">
        <f t="shared" ca="1" si="261"/>
        <v>0</v>
      </c>
      <c r="W204" s="264">
        <f t="shared" ca="1" si="262"/>
        <v>0</v>
      </c>
    </row>
    <row r="205" spans="1:23" x14ac:dyDescent="0.25">
      <c r="A205" s="280" t="str">
        <f>'User Defined Factors'!A33</f>
        <v>User-defined material #16</v>
      </c>
      <c r="B205" s="385" t="str">
        <f>'User Defined Factors'!B33</f>
        <v>TBD</v>
      </c>
      <c r="C205" s="263">
        <f t="shared" ca="1" si="263"/>
        <v>0</v>
      </c>
      <c r="D205" s="41" t="str">
        <f t="shared" ca="1" si="264"/>
        <v/>
      </c>
      <c r="E205" s="41" t="str">
        <f t="shared" ca="1" si="265"/>
        <v/>
      </c>
      <c r="F205" s="41" t="str">
        <f t="shared" ca="1" si="266"/>
        <v/>
      </c>
      <c r="G205" s="41" t="str">
        <f t="shared" ca="1" si="267"/>
        <v/>
      </c>
      <c r="H205" s="41" t="str">
        <f t="shared" ca="1" si="268"/>
        <v/>
      </c>
      <c r="I205" s="41" t="str">
        <f t="shared" ca="1" si="269"/>
        <v/>
      </c>
      <c r="J205" s="41" t="str">
        <f t="shared" ca="1" si="270"/>
        <v/>
      </c>
      <c r="K205" s="41" t="str">
        <f t="shared" ca="1" si="271"/>
        <v/>
      </c>
      <c r="L205" s="41" t="str">
        <f t="shared" ca="1" si="272"/>
        <v/>
      </c>
      <c r="M205" s="41" t="str">
        <f t="shared" ca="1" si="273"/>
        <v/>
      </c>
      <c r="N205" s="41" t="str">
        <f t="shared" ca="1" si="274"/>
        <v/>
      </c>
      <c r="O205" s="41" t="str">
        <f t="shared" ca="1" si="275"/>
        <v/>
      </c>
      <c r="P205" s="264" t="str">
        <f t="shared" ca="1" si="276"/>
        <v/>
      </c>
      <c r="Q205" s="362">
        <f t="shared" ca="1" si="261"/>
        <v>0</v>
      </c>
      <c r="R205" s="41">
        <f t="shared" ca="1" si="261"/>
        <v>0</v>
      </c>
      <c r="S205" s="41">
        <f t="shared" ca="1" si="261"/>
        <v>0</v>
      </c>
      <c r="T205" s="41">
        <f t="shared" ca="1" si="261"/>
        <v>0</v>
      </c>
      <c r="U205" s="41">
        <f t="shared" ca="1" si="261"/>
        <v>0</v>
      </c>
      <c r="V205" s="41">
        <f t="shared" ca="1" si="261"/>
        <v>0</v>
      </c>
      <c r="W205" s="264">
        <f t="shared" ca="1" si="262"/>
        <v>0</v>
      </c>
    </row>
    <row r="206" spans="1:23" x14ac:dyDescent="0.25">
      <c r="A206" s="280" t="str">
        <f>'User Defined Factors'!A34</f>
        <v>User-defined material #17</v>
      </c>
      <c r="B206" s="385" t="str">
        <f>'User Defined Factors'!B34</f>
        <v>TBD</v>
      </c>
      <c r="C206" s="263">
        <f t="shared" ca="1" si="263"/>
        <v>0</v>
      </c>
      <c r="D206" s="41" t="str">
        <f t="shared" ca="1" si="264"/>
        <v/>
      </c>
      <c r="E206" s="41" t="str">
        <f t="shared" ca="1" si="265"/>
        <v/>
      </c>
      <c r="F206" s="41" t="str">
        <f t="shared" ca="1" si="266"/>
        <v/>
      </c>
      <c r="G206" s="41" t="str">
        <f t="shared" ca="1" si="267"/>
        <v/>
      </c>
      <c r="H206" s="41" t="str">
        <f t="shared" ca="1" si="268"/>
        <v/>
      </c>
      <c r="I206" s="41" t="str">
        <f t="shared" ca="1" si="269"/>
        <v/>
      </c>
      <c r="J206" s="41" t="str">
        <f t="shared" ca="1" si="270"/>
        <v/>
      </c>
      <c r="K206" s="41" t="str">
        <f t="shared" ca="1" si="271"/>
        <v/>
      </c>
      <c r="L206" s="41" t="str">
        <f t="shared" ca="1" si="272"/>
        <v/>
      </c>
      <c r="M206" s="41" t="str">
        <f t="shared" ca="1" si="273"/>
        <v/>
      </c>
      <c r="N206" s="41" t="str">
        <f t="shared" ca="1" si="274"/>
        <v/>
      </c>
      <c r="O206" s="41" t="str">
        <f t="shared" ca="1" si="275"/>
        <v/>
      </c>
      <c r="P206" s="264" t="str">
        <f t="shared" ca="1" si="276"/>
        <v/>
      </c>
      <c r="Q206" s="362">
        <f t="shared" ref="Q206:V209" ca="1" si="277">SUMIF($C$4:$P$4,"="&amp;Q$6,$C206:$P206)</f>
        <v>0</v>
      </c>
      <c r="R206" s="41">
        <f t="shared" ca="1" si="277"/>
        <v>0</v>
      </c>
      <c r="S206" s="41">
        <f t="shared" ca="1" si="277"/>
        <v>0</v>
      </c>
      <c r="T206" s="41">
        <f t="shared" ca="1" si="277"/>
        <v>0</v>
      </c>
      <c r="U206" s="41">
        <f t="shared" ca="1" si="277"/>
        <v>0</v>
      </c>
      <c r="V206" s="41">
        <f t="shared" ca="1" si="277"/>
        <v>0</v>
      </c>
      <c r="W206" s="264">
        <f t="shared" ca="1" si="262"/>
        <v>0</v>
      </c>
    </row>
    <row r="207" spans="1:23" x14ac:dyDescent="0.25">
      <c r="A207" s="280" t="str">
        <f>'User Defined Factors'!A35</f>
        <v>User-defined material #18</v>
      </c>
      <c r="B207" s="385" t="str">
        <f>'User Defined Factors'!B35</f>
        <v>TBD</v>
      </c>
      <c r="C207" s="263">
        <f t="shared" ca="1" si="263"/>
        <v>0</v>
      </c>
      <c r="D207" s="41" t="str">
        <f t="shared" ca="1" si="264"/>
        <v/>
      </c>
      <c r="E207" s="41" t="str">
        <f t="shared" ca="1" si="265"/>
        <v/>
      </c>
      <c r="F207" s="41" t="str">
        <f t="shared" ca="1" si="266"/>
        <v/>
      </c>
      <c r="G207" s="41" t="str">
        <f t="shared" ca="1" si="267"/>
        <v/>
      </c>
      <c r="H207" s="41" t="str">
        <f t="shared" ca="1" si="268"/>
        <v/>
      </c>
      <c r="I207" s="41" t="str">
        <f t="shared" ca="1" si="269"/>
        <v/>
      </c>
      <c r="J207" s="41" t="str">
        <f t="shared" ca="1" si="270"/>
        <v/>
      </c>
      <c r="K207" s="41" t="str">
        <f t="shared" ca="1" si="271"/>
        <v/>
      </c>
      <c r="L207" s="41" t="str">
        <f t="shared" ca="1" si="272"/>
        <v/>
      </c>
      <c r="M207" s="41" t="str">
        <f t="shared" ca="1" si="273"/>
        <v/>
      </c>
      <c r="N207" s="41" t="str">
        <f t="shared" ca="1" si="274"/>
        <v/>
      </c>
      <c r="O207" s="41" t="str">
        <f t="shared" ca="1" si="275"/>
        <v/>
      </c>
      <c r="P207" s="264" t="str">
        <f t="shared" ca="1" si="276"/>
        <v/>
      </c>
      <c r="Q207" s="362">
        <f t="shared" ca="1" si="277"/>
        <v>0</v>
      </c>
      <c r="R207" s="41">
        <f t="shared" ca="1" si="277"/>
        <v>0</v>
      </c>
      <c r="S207" s="41">
        <f t="shared" ca="1" si="277"/>
        <v>0</v>
      </c>
      <c r="T207" s="41">
        <f t="shared" ca="1" si="277"/>
        <v>0</v>
      </c>
      <c r="U207" s="41">
        <f t="shared" ca="1" si="277"/>
        <v>0</v>
      </c>
      <c r="V207" s="41">
        <f t="shared" ca="1" si="277"/>
        <v>0</v>
      </c>
      <c r="W207" s="264">
        <f t="shared" ca="1" si="262"/>
        <v>0</v>
      </c>
    </row>
    <row r="208" spans="1:23" x14ac:dyDescent="0.25">
      <c r="A208" s="280" t="str">
        <f>'User Defined Factors'!A36</f>
        <v>User-defined material #19</v>
      </c>
      <c r="B208" s="385" t="str">
        <f>'User Defined Factors'!B36</f>
        <v>TBD</v>
      </c>
      <c r="C208" s="263">
        <f t="shared" ca="1" si="263"/>
        <v>0</v>
      </c>
      <c r="D208" s="41" t="str">
        <f t="shared" ca="1" si="264"/>
        <v/>
      </c>
      <c r="E208" s="41" t="str">
        <f t="shared" ca="1" si="265"/>
        <v/>
      </c>
      <c r="F208" s="41" t="str">
        <f t="shared" ca="1" si="266"/>
        <v/>
      </c>
      <c r="G208" s="41" t="str">
        <f t="shared" ca="1" si="267"/>
        <v/>
      </c>
      <c r="H208" s="41" t="str">
        <f t="shared" ca="1" si="268"/>
        <v/>
      </c>
      <c r="I208" s="41" t="str">
        <f t="shared" ca="1" si="269"/>
        <v/>
      </c>
      <c r="J208" s="41" t="str">
        <f t="shared" ca="1" si="270"/>
        <v/>
      </c>
      <c r="K208" s="41" t="str">
        <f t="shared" ca="1" si="271"/>
        <v/>
      </c>
      <c r="L208" s="41" t="str">
        <f t="shared" ca="1" si="272"/>
        <v/>
      </c>
      <c r="M208" s="41" t="str">
        <f t="shared" ca="1" si="273"/>
        <v/>
      </c>
      <c r="N208" s="41" t="str">
        <f t="shared" ca="1" si="274"/>
        <v/>
      </c>
      <c r="O208" s="41" t="str">
        <f t="shared" ca="1" si="275"/>
        <v/>
      </c>
      <c r="P208" s="264" t="str">
        <f t="shared" ca="1" si="276"/>
        <v/>
      </c>
      <c r="Q208" s="362">
        <f t="shared" ca="1" si="277"/>
        <v>0</v>
      </c>
      <c r="R208" s="41">
        <f t="shared" ca="1" si="277"/>
        <v>0</v>
      </c>
      <c r="S208" s="41">
        <f t="shared" ca="1" si="277"/>
        <v>0</v>
      </c>
      <c r="T208" s="41">
        <f t="shared" ca="1" si="277"/>
        <v>0</v>
      </c>
      <c r="U208" s="41">
        <f t="shared" ca="1" si="277"/>
        <v>0</v>
      </c>
      <c r="V208" s="41">
        <f t="shared" ca="1" si="277"/>
        <v>0</v>
      </c>
      <c r="W208" s="264">
        <f t="shared" ca="1" si="262"/>
        <v>0</v>
      </c>
    </row>
    <row r="209" spans="1:23" ht="15.75" thickBot="1" x14ac:dyDescent="0.3">
      <c r="A209" s="287" t="str">
        <f>'User Defined Factors'!A37</f>
        <v>User-defined material #20</v>
      </c>
      <c r="B209" s="390" t="str">
        <f>'User Defined Factors'!B37</f>
        <v>TBD</v>
      </c>
      <c r="C209" s="268">
        <f t="shared" ca="1" si="263"/>
        <v>0</v>
      </c>
      <c r="D209" s="269" t="str">
        <f t="shared" ca="1" si="264"/>
        <v/>
      </c>
      <c r="E209" s="269" t="str">
        <f t="shared" ca="1" si="265"/>
        <v/>
      </c>
      <c r="F209" s="269" t="str">
        <f t="shared" ca="1" si="266"/>
        <v/>
      </c>
      <c r="G209" s="269" t="str">
        <f t="shared" ca="1" si="267"/>
        <v/>
      </c>
      <c r="H209" s="269" t="str">
        <f t="shared" ca="1" si="268"/>
        <v/>
      </c>
      <c r="I209" s="269" t="str">
        <f t="shared" ca="1" si="269"/>
        <v/>
      </c>
      <c r="J209" s="269" t="str">
        <f t="shared" ca="1" si="270"/>
        <v/>
      </c>
      <c r="K209" s="269" t="str">
        <f t="shared" ca="1" si="271"/>
        <v/>
      </c>
      <c r="L209" s="269" t="str">
        <f t="shared" ca="1" si="272"/>
        <v/>
      </c>
      <c r="M209" s="269" t="str">
        <f t="shared" ca="1" si="273"/>
        <v/>
      </c>
      <c r="N209" s="269" t="str">
        <f t="shared" ca="1" si="274"/>
        <v/>
      </c>
      <c r="O209" s="269" t="str">
        <f t="shared" ca="1" si="275"/>
        <v/>
      </c>
      <c r="P209" s="270" t="str">
        <f t="shared" ca="1" si="276"/>
        <v/>
      </c>
      <c r="Q209" s="362">
        <f t="shared" ca="1" si="277"/>
        <v>0</v>
      </c>
      <c r="R209" s="41">
        <f t="shared" ca="1" si="277"/>
        <v>0</v>
      </c>
      <c r="S209" s="41">
        <f t="shared" ca="1" si="277"/>
        <v>0</v>
      </c>
      <c r="T209" s="41">
        <f t="shared" ca="1" si="277"/>
        <v>0</v>
      </c>
      <c r="U209" s="41">
        <f t="shared" ca="1" si="277"/>
        <v>0</v>
      </c>
      <c r="V209" s="41">
        <f t="shared" ca="1" si="277"/>
        <v>0</v>
      </c>
      <c r="W209" s="264">
        <f t="shared" ca="1" si="262"/>
        <v>0</v>
      </c>
    </row>
    <row r="210" spans="1:23" x14ac:dyDescent="0.25">
      <c r="A210" s="280"/>
      <c r="B210" s="385"/>
      <c r="C210" s="379"/>
      <c r="D210" s="380"/>
      <c r="E210" s="380"/>
      <c r="F210" s="380"/>
      <c r="G210" s="380"/>
      <c r="H210" s="380"/>
      <c r="I210" s="380"/>
      <c r="J210" s="380"/>
      <c r="K210" s="380"/>
      <c r="L210" s="380"/>
      <c r="M210" s="380"/>
      <c r="N210" s="380"/>
      <c r="O210" s="380"/>
      <c r="P210" s="422"/>
      <c r="Q210" s="262"/>
      <c r="R210" s="51"/>
      <c r="S210" s="51"/>
      <c r="T210" s="51"/>
      <c r="U210" s="51"/>
      <c r="V210" s="51"/>
      <c r="W210" s="265"/>
    </row>
    <row r="211" spans="1:23" ht="15.75" thickBot="1" x14ac:dyDescent="0.3">
      <c r="A211" s="281" t="s">
        <v>344</v>
      </c>
      <c r="B211" s="413"/>
      <c r="C211" s="377"/>
      <c r="D211" s="378"/>
      <c r="E211" s="378"/>
      <c r="F211" s="378"/>
      <c r="G211" s="378"/>
      <c r="H211" s="378"/>
      <c r="I211" s="378"/>
      <c r="J211" s="378"/>
      <c r="K211" s="378"/>
      <c r="L211" s="378"/>
      <c r="M211" s="378"/>
      <c r="N211" s="378"/>
      <c r="O211" s="378"/>
      <c r="P211" s="421"/>
      <c r="Q211" s="266"/>
      <c r="R211" s="118"/>
      <c r="S211" s="118"/>
      <c r="T211" s="118"/>
      <c r="U211" s="118"/>
      <c r="V211" s="118"/>
      <c r="W211" s="267"/>
    </row>
    <row r="212" spans="1:23" x14ac:dyDescent="0.25">
      <c r="A212" s="280" t="str">
        <f>'User Defined Factors'!A40</f>
        <v>User-defined recycled/reused on-site #1</v>
      </c>
      <c r="B212" s="385" t="str">
        <f>'User Defined Factors'!B40</f>
        <v>TBD</v>
      </c>
      <c r="C212" s="381">
        <f ca="1">IFERROR(INDIRECT(CONCATENATE("'",C$6,"'!",ADDRESS(ROW(A209)+208,6,4))),"")</f>
        <v>0</v>
      </c>
      <c r="D212" s="382" t="str">
        <f t="shared" ref="D212:P212" ca="1" si="278">IFERROR(INDIRECT(CONCATENATE("'",D$6,"'!",ADDRESS(ROW(B209)+208,6,4))),"")</f>
        <v/>
      </c>
      <c r="E212" s="382" t="str">
        <f t="shared" ca="1" si="278"/>
        <v/>
      </c>
      <c r="F212" s="382" t="str">
        <f t="shared" ca="1" si="278"/>
        <v/>
      </c>
      <c r="G212" s="382" t="str">
        <f t="shared" ca="1" si="278"/>
        <v/>
      </c>
      <c r="H212" s="382" t="str">
        <f t="shared" ca="1" si="278"/>
        <v/>
      </c>
      <c r="I212" s="382" t="str">
        <f t="shared" ca="1" si="278"/>
        <v/>
      </c>
      <c r="J212" s="382" t="str">
        <f t="shared" ca="1" si="278"/>
        <v/>
      </c>
      <c r="K212" s="382" t="str">
        <f t="shared" ca="1" si="278"/>
        <v/>
      </c>
      <c r="L212" s="382" t="str">
        <f t="shared" ca="1" si="278"/>
        <v/>
      </c>
      <c r="M212" s="382" t="str">
        <f t="shared" ca="1" si="278"/>
        <v/>
      </c>
      <c r="N212" s="382" t="str">
        <f t="shared" ca="1" si="278"/>
        <v/>
      </c>
      <c r="O212" s="382" t="str">
        <f t="shared" ca="1" si="278"/>
        <v/>
      </c>
      <c r="P212" s="383" t="str">
        <f t="shared" ca="1" si="278"/>
        <v/>
      </c>
      <c r="Q212" s="362">
        <f t="shared" ref="Q212:V223" ca="1" si="279">SUMIF($C$4:$P$4,"="&amp;Q$6,$C212:$P212)</f>
        <v>0</v>
      </c>
      <c r="R212" s="41">
        <f t="shared" ca="1" si="279"/>
        <v>0</v>
      </c>
      <c r="S212" s="41">
        <f t="shared" ca="1" si="279"/>
        <v>0</v>
      </c>
      <c r="T212" s="41">
        <f t="shared" ca="1" si="279"/>
        <v>0</v>
      </c>
      <c r="U212" s="41">
        <f t="shared" ca="1" si="279"/>
        <v>0</v>
      </c>
      <c r="V212" s="41">
        <f t="shared" ca="1" si="279"/>
        <v>0</v>
      </c>
      <c r="W212" s="264">
        <f ca="1">SUM(Q212:V212)</f>
        <v>0</v>
      </c>
    </row>
    <row r="213" spans="1:23" x14ac:dyDescent="0.25">
      <c r="A213" s="280" t="str">
        <f>'User Defined Factors'!A41</f>
        <v>User-defined recycled/reused on-site #2</v>
      </c>
      <c r="B213" s="385" t="str">
        <f>'User Defined Factors'!B41</f>
        <v>TBD</v>
      </c>
      <c r="C213" s="263">
        <f t="shared" ref="C213:C223" ca="1" si="280">IFERROR(INDIRECT(CONCATENATE("'",C$6,"'!",ADDRESS(ROW(A210)+208,6,4))),"")</f>
        <v>0</v>
      </c>
      <c r="D213" s="41" t="str">
        <f t="shared" ref="D213:D223" ca="1" si="281">IFERROR(INDIRECT(CONCATENATE("'",D$6,"'!",ADDRESS(ROW(B210)+208,6,4))),"")</f>
        <v/>
      </c>
      <c r="E213" s="41" t="str">
        <f t="shared" ref="E213:E223" ca="1" si="282">IFERROR(INDIRECT(CONCATENATE("'",E$6,"'!",ADDRESS(ROW(C210)+208,6,4))),"")</f>
        <v/>
      </c>
      <c r="F213" s="41" t="str">
        <f t="shared" ref="F213:F223" ca="1" si="283">IFERROR(INDIRECT(CONCATENATE("'",F$6,"'!",ADDRESS(ROW(D210)+208,6,4))),"")</f>
        <v/>
      </c>
      <c r="G213" s="41" t="str">
        <f t="shared" ref="G213:G223" ca="1" si="284">IFERROR(INDIRECT(CONCATENATE("'",G$6,"'!",ADDRESS(ROW(E210)+208,6,4))),"")</f>
        <v/>
      </c>
      <c r="H213" s="41" t="str">
        <f t="shared" ref="H213:H223" ca="1" si="285">IFERROR(INDIRECT(CONCATENATE("'",H$6,"'!",ADDRESS(ROW(F210)+208,6,4))),"")</f>
        <v/>
      </c>
      <c r="I213" s="41" t="str">
        <f t="shared" ref="I213:I223" ca="1" si="286">IFERROR(INDIRECT(CONCATENATE("'",I$6,"'!",ADDRESS(ROW(G210)+208,6,4))),"")</f>
        <v/>
      </c>
      <c r="J213" s="41" t="str">
        <f t="shared" ref="J213:J223" ca="1" si="287">IFERROR(INDIRECT(CONCATENATE("'",J$6,"'!",ADDRESS(ROW(H210)+208,6,4))),"")</f>
        <v/>
      </c>
      <c r="K213" s="41" t="str">
        <f t="shared" ref="K213:K223" ca="1" si="288">IFERROR(INDIRECT(CONCATENATE("'",K$6,"'!",ADDRESS(ROW(I210)+208,6,4))),"")</f>
        <v/>
      </c>
      <c r="L213" s="41" t="str">
        <f t="shared" ref="L213:L223" ca="1" si="289">IFERROR(INDIRECT(CONCATENATE("'",L$6,"'!",ADDRESS(ROW(J210)+208,6,4))),"")</f>
        <v/>
      </c>
      <c r="M213" s="41" t="str">
        <f t="shared" ref="M213:M223" ca="1" si="290">IFERROR(INDIRECT(CONCATENATE("'",M$6,"'!",ADDRESS(ROW(K210)+208,6,4))),"")</f>
        <v/>
      </c>
      <c r="N213" s="41" t="str">
        <f t="shared" ref="N213:N223" ca="1" si="291">IFERROR(INDIRECT(CONCATENATE("'",N$6,"'!",ADDRESS(ROW(L210)+208,6,4))),"")</f>
        <v/>
      </c>
      <c r="O213" s="41" t="str">
        <f t="shared" ref="O213:O223" ca="1" si="292">IFERROR(INDIRECT(CONCATENATE("'",O$6,"'!",ADDRESS(ROW(M210)+208,6,4))),"")</f>
        <v/>
      </c>
      <c r="P213" s="264" t="str">
        <f t="shared" ref="P213:P223" ca="1" si="293">IFERROR(INDIRECT(CONCATENATE("'",P$6,"'!",ADDRESS(ROW(N210)+208,6,4))),"")</f>
        <v/>
      </c>
      <c r="Q213" s="362">
        <f t="shared" ca="1" si="279"/>
        <v>0</v>
      </c>
      <c r="R213" s="41">
        <f t="shared" ca="1" si="279"/>
        <v>0</v>
      </c>
      <c r="S213" s="41">
        <f t="shared" ca="1" si="279"/>
        <v>0</v>
      </c>
      <c r="T213" s="41">
        <f t="shared" ca="1" si="279"/>
        <v>0</v>
      </c>
      <c r="U213" s="41">
        <f t="shared" ca="1" si="279"/>
        <v>0</v>
      </c>
      <c r="V213" s="41">
        <f t="shared" ca="1" si="279"/>
        <v>0</v>
      </c>
      <c r="W213" s="264">
        <f t="shared" ref="W213:W223" ca="1" si="294">SUM(Q213:V213)</f>
        <v>0</v>
      </c>
    </row>
    <row r="214" spans="1:23" x14ac:dyDescent="0.25">
      <c r="A214" s="280" t="str">
        <f>'User Defined Factors'!A42</f>
        <v>User-defined recycled/reused on-site #3</v>
      </c>
      <c r="B214" s="385" t="str">
        <f>'User Defined Factors'!B42</f>
        <v>TBD</v>
      </c>
      <c r="C214" s="263">
        <f t="shared" ca="1" si="280"/>
        <v>0</v>
      </c>
      <c r="D214" s="41" t="str">
        <f t="shared" ca="1" si="281"/>
        <v/>
      </c>
      <c r="E214" s="41" t="str">
        <f t="shared" ca="1" si="282"/>
        <v/>
      </c>
      <c r="F214" s="41" t="str">
        <f t="shared" ca="1" si="283"/>
        <v/>
      </c>
      <c r="G214" s="41" t="str">
        <f t="shared" ca="1" si="284"/>
        <v/>
      </c>
      <c r="H214" s="41" t="str">
        <f t="shared" ca="1" si="285"/>
        <v/>
      </c>
      <c r="I214" s="41" t="str">
        <f t="shared" ca="1" si="286"/>
        <v/>
      </c>
      <c r="J214" s="41" t="str">
        <f t="shared" ca="1" si="287"/>
        <v/>
      </c>
      <c r="K214" s="41" t="str">
        <f t="shared" ca="1" si="288"/>
        <v/>
      </c>
      <c r="L214" s="41" t="str">
        <f t="shared" ca="1" si="289"/>
        <v/>
      </c>
      <c r="M214" s="41" t="str">
        <f t="shared" ca="1" si="290"/>
        <v/>
      </c>
      <c r="N214" s="41" t="str">
        <f t="shared" ca="1" si="291"/>
        <v/>
      </c>
      <c r="O214" s="41" t="str">
        <f t="shared" ca="1" si="292"/>
        <v/>
      </c>
      <c r="P214" s="264" t="str">
        <f t="shared" ca="1" si="293"/>
        <v/>
      </c>
      <c r="Q214" s="362">
        <f t="shared" ca="1" si="279"/>
        <v>0</v>
      </c>
      <c r="R214" s="41">
        <f t="shared" ca="1" si="279"/>
        <v>0</v>
      </c>
      <c r="S214" s="41">
        <f t="shared" ca="1" si="279"/>
        <v>0</v>
      </c>
      <c r="T214" s="41">
        <f t="shared" ca="1" si="279"/>
        <v>0</v>
      </c>
      <c r="U214" s="41">
        <f t="shared" ca="1" si="279"/>
        <v>0</v>
      </c>
      <c r="V214" s="41">
        <f t="shared" ca="1" si="279"/>
        <v>0</v>
      </c>
      <c r="W214" s="264">
        <f t="shared" ca="1" si="294"/>
        <v>0</v>
      </c>
    </row>
    <row r="215" spans="1:23" x14ac:dyDescent="0.25">
      <c r="A215" s="280" t="str">
        <f>'User Defined Factors'!A43</f>
        <v>User-defined recycled/reused off-site #1</v>
      </c>
      <c r="B215" s="385" t="str">
        <f>'User Defined Factors'!B43</f>
        <v>TBD</v>
      </c>
      <c r="C215" s="263">
        <f t="shared" ca="1" si="280"/>
        <v>0</v>
      </c>
      <c r="D215" s="41" t="str">
        <f t="shared" ca="1" si="281"/>
        <v/>
      </c>
      <c r="E215" s="41" t="str">
        <f t="shared" ca="1" si="282"/>
        <v/>
      </c>
      <c r="F215" s="41" t="str">
        <f t="shared" ca="1" si="283"/>
        <v/>
      </c>
      <c r="G215" s="41" t="str">
        <f t="shared" ca="1" si="284"/>
        <v/>
      </c>
      <c r="H215" s="41" t="str">
        <f t="shared" ca="1" si="285"/>
        <v/>
      </c>
      <c r="I215" s="41" t="str">
        <f t="shared" ca="1" si="286"/>
        <v/>
      </c>
      <c r="J215" s="41" t="str">
        <f t="shared" ca="1" si="287"/>
        <v/>
      </c>
      <c r="K215" s="41" t="str">
        <f t="shared" ca="1" si="288"/>
        <v/>
      </c>
      <c r="L215" s="41" t="str">
        <f t="shared" ca="1" si="289"/>
        <v/>
      </c>
      <c r="M215" s="41" t="str">
        <f t="shared" ca="1" si="290"/>
        <v/>
      </c>
      <c r="N215" s="41" t="str">
        <f t="shared" ca="1" si="291"/>
        <v/>
      </c>
      <c r="O215" s="41" t="str">
        <f t="shared" ca="1" si="292"/>
        <v/>
      </c>
      <c r="P215" s="264" t="str">
        <f t="shared" ca="1" si="293"/>
        <v/>
      </c>
      <c r="Q215" s="362">
        <f t="shared" ca="1" si="279"/>
        <v>0</v>
      </c>
      <c r="R215" s="41">
        <f t="shared" ca="1" si="279"/>
        <v>0</v>
      </c>
      <c r="S215" s="41">
        <f t="shared" ca="1" si="279"/>
        <v>0</v>
      </c>
      <c r="T215" s="41">
        <f t="shared" ca="1" si="279"/>
        <v>0</v>
      </c>
      <c r="U215" s="41">
        <f t="shared" ca="1" si="279"/>
        <v>0</v>
      </c>
      <c r="V215" s="41">
        <f t="shared" ca="1" si="279"/>
        <v>0</v>
      </c>
      <c r="W215" s="264">
        <f t="shared" ca="1" si="294"/>
        <v>0</v>
      </c>
    </row>
    <row r="216" spans="1:23" x14ac:dyDescent="0.25">
      <c r="A216" s="280" t="str">
        <f>'User Defined Factors'!A44</f>
        <v>User-defined recycled/reused off-site #2</v>
      </c>
      <c r="B216" s="385" t="str">
        <f>'User Defined Factors'!B44</f>
        <v>TBD</v>
      </c>
      <c r="C216" s="263">
        <f t="shared" ca="1" si="280"/>
        <v>0</v>
      </c>
      <c r="D216" s="41" t="str">
        <f t="shared" ca="1" si="281"/>
        <v/>
      </c>
      <c r="E216" s="41" t="str">
        <f t="shared" ca="1" si="282"/>
        <v/>
      </c>
      <c r="F216" s="41" t="str">
        <f t="shared" ca="1" si="283"/>
        <v/>
      </c>
      <c r="G216" s="41" t="str">
        <f t="shared" ca="1" si="284"/>
        <v/>
      </c>
      <c r="H216" s="41" t="str">
        <f t="shared" ca="1" si="285"/>
        <v/>
      </c>
      <c r="I216" s="41" t="str">
        <f t="shared" ca="1" si="286"/>
        <v/>
      </c>
      <c r="J216" s="41" t="str">
        <f t="shared" ca="1" si="287"/>
        <v/>
      </c>
      <c r="K216" s="41" t="str">
        <f t="shared" ca="1" si="288"/>
        <v/>
      </c>
      <c r="L216" s="41" t="str">
        <f t="shared" ca="1" si="289"/>
        <v/>
      </c>
      <c r="M216" s="41" t="str">
        <f t="shared" ca="1" si="290"/>
        <v/>
      </c>
      <c r="N216" s="41" t="str">
        <f t="shared" ca="1" si="291"/>
        <v/>
      </c>
      <c r="O216" s="41" t="str">
        <f t="shared" ca="1" si="292"/>
        <v/>
      </c>
      <c r="P216" s="264" t="str">
        <f t="shared" ca="1" si="293"/>
        <v/>
      </c>
      <c r="Q216" s="362">
        <f t="shared" ca="1" si="279"/>
        <v>0</v>
      </c>
      <c r="R216" s="41">
        <f t="shared" ca="1" si="279"/>
        <v>0</v>
      </c>
      <c r="S216" s="41">
        <f t="shared" ca="1" si="279"/>
        <v>0</v>
      </c>
      <c r="T216" s="41">
        <f t="shared" ca="1" si="279"/>
        <v>0</v>
      </c>
      <c r="U216" s="41">
        <f t="shared" ca="1" si="279"/>
        <v>0</v>
      </c>
      <c r="V216" s="41">
        <f t="shared" ca="1" si="279"/>
        <v>0</v>
      </c>
      <c r="W216" s="264">
        <f t="shared" ca="1" si="294"/>
        <v>0</v>
      </c>
    </row>
    <row r="217" spans="1:23" x14ac:dyDescent="0.25">
      <c r="A217" s="280" t="str">
        <f>'User Defined Factors'!A45</f>
        <v>User-defined recycled/reused off-site #3</v>
      </c>
      <c r="B217" s="385" t="str">
        <f>'User Defined Factors'!B45</f>
        <v>TBD</v>
      </c>
      <c r="C217" s="263">
        <f t="shared" ca="1" si="280"/>
        <v>0</v>
      </c>
      <c r="D217" s="41" t="str">
        <f t="shared" ca="1" si="281"/>
        <v/>
      </c>
      <c r="E217" s="41" t="str">
        <f t="shared" ca="1" si="282"/>
        <v/>
      </c>
      <c r="F217" s="41" t="str">
        <f t="shared" ca="1" si="283"/>
        <v/>
      </c>
      <c r="G217" s="41" t="str">
        <f t="shared" ca="1" si="284"/>
        <v/>
      </c>
      <c r="H217" s="41" t="str">
        <f t="shared" ca="1" si="285"/>
        <v/>
      </c>
      <c r="I217" s="41" t="str">
        <f t="shared" ca="1" si="286"/>
        <v/>
      </c>
      <c r="J217" s="41" t="str">
        <f t="shared" ca="1" si="287"/>
        <v/>
      </c>
      <c r="K217" s="41" t="str">
        <f t="shared" ca="1" si="288"/>
        <v/>
      </c>
      <c r="L217" s="41" t="str">
        <f t="shared" ca="1" si="289"/>
        <v/>
      </c>
      <c r="M217" s="41" t="str">
        <f t="shared" ca="1" si="290"/>
        <v/>
      </c>
      <c r="N217" s="41" t="str">
        <f t="shared" ca="1" si="291"/>
        <v/>
      </c>
      <c r="O217" s="41" t="str">
        <f t="shared" ca="1" si="292"/>
        <v/>
      </c>
      <c r="P217" s="264" t="str">
        <f t="shared" ca="1" si="293"/>
        <v/>
      </c>
      <c r="Q217" s="362">
        <f t="shared" ca="1" si="279"/>
        <v>0</v>
      </c>
      <c r="R217" s="41">
        <f t="shared" ca="1" si="279"/>
        <v>0</v>
      </c>
      <c r="S217" s="41">
        <f t="shared" ca="1" si="279"/>
        <v>0</v>
      </c>
      <c r="T217" s="41">
        <f t="shared" ca="1" si="279"/>
        <v>0</v>
      </c>
      <c r="U217" s="41">
        <f t="shared" ca="1" si="279"/>
        <v>0</v>
      </c>
      <c r="V217" s="41">
        <f t="shared" ca="1" si="279"/>
        <v>0</v>
      </c>
      <c r="W217" s="264">
        <f t="shared" ca="1" si="294"/>
        <v>0</v>
      </c>
    </row>
    <row r="218" spans="1:23" x14ac:dyDescent="0.25">
      <c r="A218" s="280" t="str">
        <f>'User Defined Factors'!A46</f>
        <v>User-defined non-hazardous waste destination #1</v>
      </c>
      <c r="B218" s="385" t="str">
        <f>'User Defined Factors'!B46</f>
        <v>TBD</v>
      </c>
      <c r="C218" s="263">
        <f t="shared" ca="1" si="280"/>
        <v>0</v>
      </c>
      <c r="D218" s="41" t="str">
        <f t="shared" ca="1" si="281"/>
        <v/>
      </c>
      <c r="E218" s="41" t="str">
        <f t="shared" ca="1" si="282"/>
        <v/>
      </c>
      <c r="F218" s="41" t="str">
        <f t="shared" ca="1" si="283"/>
        <v/>
      </c>
      <c r="G218" s="41" t="str">
        <f t="shared" ca="1" si="284"/>
        <v/>
      </c>
      <c r="H218" s="41" t="str">
        <f t="shared" ca="1" si="285"/>
        <v/>
      </c>
      <c r="I218" s="41" t="str">
        <f t="shared" ca="1" si="286"/>
        <v/>
      </c>
      <c r="J218" s="41" t="str">
        <f t="shared" ca="1" si="287"/>
        <v/>
      </c>
      <c r="K218" s="41" t="str">
        <f t="shared" ca="1" si="288"/>
        <v/>
      </c>
      <c r="L218" s="41" t="str">
        <f t="shared" ca="1" si="289"/>
        <v/>
      </c>
      <c r="M218" s="41" t="str">
        <f t="shared" ca="1" si="290"/>
        <v/>
      </c>
      <c r="N218" s="41" t="str">
        <f t="shared" ca="1" si="291"/>
        <v/>
      </c>
      <c r="O218" s="41" t="str">
        <f t="shared" ca="1" si="292"/>
        <v/>
      </c>
      <c r="P218" s="264" t="str">
        <f t="shared" ca="1" si="293"/>
        <v/>
      </c>
      <c r="Q218" s="362">
        <f t="shared" ca="1" si="279"/>
        <v>0</v>
      </c>
      <c r="R218" s="41">
        <f t="shared" ca="1" si="279"/>
        <v>0</v>
      </c>
      <c r="S218" s="41">
        <f t="shared" ca="1" si="279"/>
        <v>0</v>
      </c>
      <c r="T218" s="41">
        <f t="shared" ca="1" si="279"/>
        <v>0</v>
      </c>
      <c r="U218" s="41">
        <f t="shared" ca="1" si="279"/>
        <v>0</v>
      </c>
      <c r="V218" s="41">
        <f t="shared" ca="1" si="279"/>
        <v>0</v>
      </c>
      <c r="W218" s="264">
        <f t="shared" ca="1" si="294"/>
        <v>0</v>
      </c>
    </row>
    <row r="219" spans="1:23" x14ac:dyDescent="0.25">
      <c r="A219" s="280" t="str">
        <f>'User Defined Factors'!A47</f>
        <v>User-defined non-hazardous waste destination #2</v>
      </c>
      <c r="B219" s="385" t="str">
        <f>'User Defined Factors'!B47</f>
        <v>TBD</v>
      </c>
      <c r="C219" s="263">
        <f t="shared" ca="1" si="280"/>
        <v>0</v>
      </c>
      <c r="D219" s="41" t="str">
        <f t="shared" ca="1" si="281"/>
        <v/>
      </c>
      <c r="E219" s="41" t="str">
        <f t="shared" ca="1" si="282"/>
        <v/>
      </c>
      <c r="F219" s="41" t="str">
        <f t="shared" ca="1" si="283"/>
        <v/>
      </c>
      <c r="G219" s="41" t="str">
        <f t="shared" ca="1" si="284"/>
        <v/>
      </c>
      <c r="H219" s="41" t="str">
        <f t="shared" ca="1" si="285"/>
        <v/>
      </c>
      <c r="I219" s="41" t="str">
        <f t="shared" ca="1" si="286"/>
        <v/>
      </c>
      <c r="J219" s="41" t="str">
        <f t="shared" ca="1" si="287"/>
        <v/>
      </c>
      <c r="K219" s="41" t="str">
        <f t="shared" ca="1" si="288"/>
        <v/>
      </c>
      <c r="L219" s="41" t="str">
        <f t="shared" ca="1" si="289"/>
        <v/>
      </c>
      <c r="M219" s="41" t="str">
        <f t="shared" ca="1" si="290"/>
        <v/>
      </c>
      <c r="N219" s="41" t="str">
        <f t="shared" ca="1" si="291"/>
        <v/>
      </c>
      <c r="O219" s="41" t="str">
        <f t="shared" ca="1" si="292"/>
        <v/>
      </c>
      <c r="P219" s="264" t="str">
        <f t="shared" ca="1" si="293"/>
        <v/>
      </c>
      <c r="Q219" s="362">
        <f t="shared" ca="1" si="279"/>
        <v>0</v>
      </c>
      <c r="R219" s="41">
        <f t="shared" ca="1" si="279"/>
        <v>0</v>
      </c>
      <c r="S219" s="41">
        <f t="shared" ca="1" si="279"/>
        <v>0</v>
      </c>
      <c r="T219" s="41">
        <f t="shared" ca="1" si="279"/>
        <v>0</v>
      </c>
      <c r="U219" s="41">
        <f t="shared" ca="1" si="279"/>
        <v>0</v>
      </c>
      <c r="V219" s="41">
        <f t="shared" ca="1" si="279"/>
        <v>0</v>
      </c>
      <c r="W219" s="264">
        <f t="shared" ca="1" si="294"/>
        <v>0</v>
      </c>
    </row>
    <row r="220" spans="1:23" x14ac:dyDescent="0.25">
      <c r="A220" s="280" t="str">
        <f>'User Defined Factors'!A48</f>
        <v>User-defined non-hazardous waste destination #3</v>
      </c>
      <c r="B220" s="385" t="str">
        <f>'User Defined Factors'!B48</f>
        <v>TBD</v>
      </c>
      <c r="C220" s="263">
        <f t="shared" ca="1" si="280"/>
        <v>0</v>
      </c>
      <c r="D220" s="41" t="str">
        <f t="shared" ca="1" si="281"/>
        <v/>
      </c>
      <c r="E220" s="41" t="str">
        <f t="shared" ca="1" si="282"/>
        <v/>
      </c>
      <c r="F220" s="41" t="str">
        <f t="shared" ca="1" si="283"/>
        <v/>
      </c>
      <c r="G220" s="41" t="str">
        <f t="shared" ca="1" si="284"/>
        <v/>
      </c>
      <c r="H220" s="41" t="str">
        <f t="shared" ca="1" si="285"/>
        <v/>
      </c>
      <c r="I220" s="41" t="str">
        <f t="shared" ca="1" si="286"/>
        <v/>
      </c>
      <c r="J220" s="41" t="str">
        <f t="shared" ca="1" si="287"/>
        <v/>
      </c>
      <c r="K220" s="41" t="str">
        <f t="shared" ca="1" si="288"/>
        <v/>
      </c>
      <c r="L220" s="41" t="str">
        <f t="shared" ca="1" si="289"/>
        <v/>
      </c>
      <c r="M220" s="41" t="str">
        <f t="shared" ca="1" si="290"/>
        <v/>
      </c>
      <c r="N220" s="41" t="str">
        <f t="shared" ca="1" si="291"/>
        <v/>
      </c>
      <c r="O220" s="41" t="str">
        <f t="shared" ca="1" si="292"/>
        <v/>
      </c>
      <c r="P220" s="264" t="str">
        <f t="shared" ca="1" si="293"/>
        <v/>
      </c>
      <c r="Q220" s="362">
        <f t="shared" ca="1" si="279"/>
        <v>0</v>
      </c>
      <c r="R220" s="41">
        <f t="shared" ca="1" si="279"/>
        <v>0</v>
      </c>
      <c r="S220" s="41">
        <f t="shared" ca="1" si="279"/>
        <v>0</v>
      </c>
      <c r="T220" s="41">
        <f t="shared" ca="1" si="279"/>
        <v>0</v>
      </c>
      <c r="U220" s="41">
        <f t="shared" ca="1" si="279"/>
        <v>0</v>
      </c>
      <c r="V220" s="41">
        <f t="shared" ca="1" si="279"/>
        <v>0</v>
      </c>
      <c r="W220" s="264">
        <f t="shared" ca="1" si="294"/>
        <v>0</v>
      </c>
    </row>
    <row r="221" spans="1:23" x14ac:dyDescent="0.25">
      <c r="A221" s="280" t="str">
        <f>'User Defined Factors'!A49</f>
        <v>User-defined hazardous waste destination #1</v>
      </c>
      <c r="B221" s="385" t="str">
        <f>'User Defined Factors'!B49</f>
        <v>TBD</v>
      </c>
      <c r="C221" s="263">
        <f t="shared" ca="1" si="280"/>
        <v>0</v>
      </c>
      <c r="D221" s="41" t="str">
        <f t="shared" ca="1" si="281"/>
        <v/>
      </c>
      <c r="E221" s="41" t="str">
        <f t="shared" ca="1" si="282"/>
        <v/>
      </c>
      <c r="F221" s="41" t="str">
        <f t="shared" ca="1" si="283"/>
        <v/>
      </c>
      <c r="G221" s="41" t="str">
        <f t="shared" ca="1" si="284"/>
        <v/>
      </c>
      <c r="H221" s="41" t="str">
        <f t="shared" ca="1" si="285"/>
        <v/>
      </c>
      <c r="I221" s="41" t="str">
        <f t="shared" ca="1" si="286"/>
        <v/>
      </c>
      <c r="J221" s="41" t="str">
        <f t="shared" ca="1" si="287"/>
        <v/>
      </c>
      <c r="K221" s="41" t="str">
        <f t="shared" ca="1" si="288"/>
        <v/>
      </c>
      <c r="L221" s="41" t="str">
        <f t="shared" ca="1" si="289"/>
        <v/>
      </c>
      <c r="M221" s="41" t="str">
        <f t="shared" ca="1" si="290"/>
        <v/>
      </c>
      <c r="N221" s="41" t="str">
        <f t="shared" ca="1" si="291"/>
        <v/>
      </c>
      <c r="O221" s="41" t="str">
        <f t="shared" ca="1" si="292"/>
        <v/>
      </c>
      <c r="P221" s="264" t="str">
        <f t="shared" ca="1" si="293"/>
        <v/>
      </c>
      <c r="Q221" s="362">
        <f t="shared" ca="1" si="279"/>
        <v>0</v>
      </c>
      <c r="R221" s="41">
        <f t="shared" ca="1" si="279"/>
        <v>0</v>
      </c>
      <c r="S221" s="41">
        <f t="shared" ca="1" si="279"/>
        <v>0</v>
      </c>
      <c r="T221" s="41">
        <f t="shared" ca="1" si="279"/>
        <v>0</v>
      </c>
      <c r="U221" s="41">
        <f t="shared" ca="1" si="279"/>
        <v>0</v>
      </c>
      <c r="V221" s="41">
        <f t="shared" ca="1" si="279"/>
        <v>0</v>
      </c>
      <c r="W221" s="264">
        <f t="shared" ca="1" si="294"/>
        <v>0</v>
      </c>
    </row>
    <row r="222" spans="1:23" x14ac:dyDescent="0.25">
      <c r="A222" s="280" t="str">
        <f>'User Defined Factors'!A50</f>
        <v>User-defined hazardous waste destination #2</v>
      </c>
      <c r="B222" s="385" t="str">
        <f>'User Defined Factors'!B50</f>
        <v>TBD</v>
      </c>
      <c r="C222" s="263">
        <f t="shared" ca="1" si="280"/>
        <v>0</v>
      </c>
      <c r="D222" s="41" t="str">
        <f t="shared" ca="1" si="281"/>
        <v/>
      </c>
      <c r="E222" s="41" t="str">
        <f t="shared" ca="1" si="282"/>
        <v/>
      </c>
      <c r="F222" s="41" t="str">
        <f t="shared" ca="1" si="283"/>
        <v/>
      </c>
      <c r="G222" s="41" t="str">
        <f t="shared" ca="1" si="284"/>
        <v/>
      </c>
      <c r="H222" s="41" t="str">
        <f t="shared" ca="1" si="285"/>
        <v/>
      </c>
      <c r="I222" s="41" t="str">
        <f t="shared" ca="1" si="286"/>
        <v/>
      </c>
      <c r="J222" s="41" t="str">
        <f t="shared" ca="1" si="287"/>
        <v/>
      </c>
      <c r="K222" s="41" t="str">
        <f t="shared" ca="1" si="288"/>
        <v/>
      </c>
      <c r="L222" s="41" t="str">
        <f t="shared" ca="1" si="289"/>
        <v/>
      </c>
      <c r="M222" s="41" t="str">
        <f t="shared" ca="1" si="290"/>
        <v/>
      </c>
      <c r="N222" s="41" t="str">
        <f t="shared" ca="1" si="291"/>
        <v/>
      </c>
      <c r="O222" s="41" t="str">
        <f t="shared" ca="1" si="292"/>
        <v/>
      </c>
      <c r="P222" s="264" t="str">
        <f t="shared" ca="1" si="293"/>
        <v/>
      </c>
      <c r="Q222" s="362">
        <f t="shared" ca="1" si="279"/>
        <v>0</v>
      </c>
      <c r="R222" s="41">
        <f t="shared" ca="1" si="279"/>
        <v>0</v>
      </c>
      <c r="S222" s="41">
        <f t="shared" ca="1" si="279"/>
        <v>0</v>
      </c>
      <c r="T222" s="41">
        <f t="shared" ca="1" si="279"/>
        <v>0</v>
      </c>
      <c r="U222" s="41">
        <f t="shared" ca="1" si="279"/>
        <v>0</v>
      </c>
      <c r="V222" s="41">
        <f t="shared" ca="1" si="279"/>
        <v>0</v>
      </c>
      <c r="W222" s="264">
        <f t="shared" ca="1" si="294"/>
        <v>0</v>
      </c>
    </row>
    <row r="223" spans="1:23" ht="15.75" thickBot="1" x14ac:dyDescent="0.3">
      <c r="A223" s="288" t="str">
        <f>'User Defined Factors'!A51</f>
        <v>User-defined hazardous waste destination #3</v>
      </c>
      <c r="B223" s="391" t="str">
        <f>'User Defined Factors'!B51</f>
        <v>TBD</v>
      </c>
      <c r="C223" s="268">
        <f t="shared" ca="1" si="280"/>
        <v>0</v>
      </c>
      <c r="D223" s="269" t="str">
        <f t="shared" ca="1" si="281"/>
        <v/>
      </c>
      <c r="E223" s="269" t="str">
        <f t="shared" ca="1" si="282"/>
        <v/>
      </c>
      <c r="F223" s="269" t="str">
        <f t="shared" ca="1" si="283"/>
        <v/>
      </c>
      <c r="G223" s="269" t="str">
        <f t="shared" ca="1" si="284"/>
        <v/>
      </c>
      <c r="H223" s="269" t="str">
        <f t="shared" ca="1" si="285"/>
        <v/>
      </c>
      <c r="I223" s="269" t="str">
        <f t="shared" ca="1" si="286"/>
        <v/>
      </c>
      <c r="J223" s="269" t="str">
        <f t="shared" ca="1" si="287"/>
        <v/>
      </c>
      <c r="K223" s="269" t="str">
        <f t="shared" ca="1" si="288"/>
        <v/>
      </c>
      <c r="L223" s="269" t="str">
        <f t="shared" ca="1" si="289"/>
        <v/>
      </c>
      <c r="M223" s="269" t="str">
        <f t="shared" ca="1" si="290"/>
        <v/>
      </c>
      <c r="N223" s="269" t="str">
        <f t="shared" ca="1" si="291"/>
        <v/>
      </c>
      <c r="O223" s="269" t="str">
        <f t="shared" ca="1" si="292"/>
        <v/>
      </c>
      <c r="P223" s="270" t="str">
        <f t="shared" ca="1" si="293"/>
        <v/>
      </c>
      <c r="Q223" s="392">
        <f t="shared" ca="1" si="279"/>
        <v>0</v>
      </c>
      <c r="R223" s="269">
        <f t="shared" ca="1" si="279"/>
        <v>0</v>
      </c>
      <c r="S223" s="269">
        <f t="shared" ca="1" si="279"/>
        <v>0</v>
      </c>
      <c r="T223" s="269">
        <f t="shared" ca="1" si="279"/>
        <v>0</v>
      </c>
      <c r="U223" s="269">
        <f t="shared" ca="1" si="279"/>
        <v>0</v>
      </c>
      <c r="V223" s="269">
        <f t="shared" ca="1" si="279"/>
        <v>0</v>
      </c>
      <c r="W223" s="270">
        <f t="shared" ca="1" si="294"/>
        <v>0</v>
      </c>
    </row>
    <row r="224" spans="1:23" x14ac:dyDescent="0.25">
      <c r="A224" s="7"/>
      <c r="B224" s="7"/>
      <c r="C224" s="7"/>
      <c r="D224" s="7"/>
      <c r="E224" s="7"/>
      <c r="F224" s="7"/>
      <c r="G224" s="7"/>
      <c r="H224" s="7"/>
      <c r="I224" s="7"/>
      <c r="J224" s="7"/>
      <c r="K224" s="7"/>
      <c r="L224" s="7"/>
      <c r="M224" s="7"/>
      <c r="N224" s="7"/>
      <c r="O224" s="7"/>
      <c r="P224" s="7"/>
      <c r="Q224" s="7"/>
      <c r="R224" s="7"/>
      <c r="S224" s="7"/>
      <c r="T224" s="7"/>
      <c r="U224" s="7"/>
      <c r="V224" s="7"/>
      <c r="W224" s="7"/>
    </row>
    <row r="225" spans="1:23" x14ac:dyDescent="0.25">
      <c r="A225" s="7"/>
      <c r="B225" s="7"/>
      <c r="C225" s="7"/>
      <c r="D225" s="7"/>
      <c r="E225" s="7"/>
      <c r="F225" s="7"/>
      <c r="G225" s="7"/>
      <c r="H225" s="7"/>
      <c r="I225" s="7"/>
      <c r="J225" s="7"/>
      <c r="K225" s="7"/>
      <c r="L225" s="7"/>
      <c r="M225" s="7"/>
      <c r="N225" s="7"/>
      <c r="O225" s="7"/>
      <c r="P225" s="7"/>
      <c r="Q225" s="7"/>
      <c r="R225" s="7"/>
      <c r="S225" s="7"/>
      <c r="T225" s="7"/>
      <c r="U225" s="7"/>
      <c r="V225" s="7"/>
      <c r="W225" s="7"/>
    </row>
    <row r="226" spans="1:23" x14ac:dyDescent="0.25">
      <c r="A226" s="7"/>
      <c r="B226" s="7"/>
      <c r="C226" s="7"/>
      <c r="D226" s="7"/>
      <c r="E226" s="7"/>
      <c r="F226" s="7"/>
      <c r="G226" s="7"/>
      <c r="H226" s="7"/>
      <c r="I226" s="7"/>
      <c r="J226" s="7"/>
      <c r="K226" s="7"/>
      <c r="L226" s="7"/>
      <c r="M226" s="7"/>
      <c r="N226" s="7"/>
      <c r="O226" s="7"/>
      <c r="P226" s="7"/>
      <c r="Q226" s="7"/>
      <c r="R226" s="7"/>
      <c r="S226" s="7"/>
      <c r="T226" s="7"/>
      <c r="U226" s="7"/>
      <c r="V226" s="7"/>
      <c r="W226" s="7"/>
    </row>
    <row r="227" spans="1:23" x14ac:dyDescent="0.25">
      <c r="A227" s="7"/>
      <c r="B227" s="7"/>
      <c r="C227" s="7"/>
      <c r="D227" s="7"/>
      <c r="E227" s="7"/>
      <c r="F227" s="7"/>
      <c r="G227" s="7"/>
      <c r="H227" s="7"/>
      <c r="I227" s="7"/>
      <c r="J227" s="7"/>
      <c r="K227" s="7"/>
      <c r="L227" s="7"/>
      <c r="M227" s="7"/>
      <c r="N227" s="7"/>
      <c r="O227" s="7"/>
      <c r="P227" s="7"/>
      <c r="Q227" s="7"/>
      <c r="R227" s="7"/>
      <c r="S227" s="7"/>
      <c r="T227" s="7"/>
      <c r="U227" s="7"/>
      <c r="V227" s="7"/>
      <c r="W227" s="7"/>
    </row>
    <row r="228" spans="1:23" x14ac:dyDescent="0.25">
      <c r="A228" s="7"/>
      <c r="B228" s="7"/>
      <c r="C228" s="7"/>
      <c r="D228" s="7"/>
      <c r="E228" s="7"/>
      <c r="F228" s="7"/>
      <c r="G228" s="7"/>
      <c r="H228" s="7"/>
      <c r="I228" s="7"/>
      <c r="J228" s="7"/>
      <c r="K228" s="7"/>
      <c r="L228" s="7"/>
      <c r="M228" s="7"/>
      <c r="N228" s="7"/>
      <c r="O228" s="7"/>
      <c r="P228" s="7"/>
      <c r="Q228" s="7"/>
      <c r="R228" s="7"/>
      <c r="S228" s="7"/>
      <c r="T228" s="7"/>
      <c r="U228" s="7"/>
      <c r="V228" s="7"/>
      <c r="W228" s="7"/>
    </row>
    <row r="229" spans="1:23" x14ac:dyDescent="0.25">
      <c r="A229" s="7"/>
      <c r="B229" s="7"/>
      <c r="C229" s="7"/>
      <c r="D229" s="7"/>
      <c r="E229" s="7"/>
      <c r="F229" s="7"/>
      <c r="G229" s="7"/>
      <c r="H229" s="7"/>
      <c r="I229" s="7"/>
      <c r="J229" s="7"/>
      <c r="K229" s="7"/>
      <c r="L229" s="7"/>
      <c r="M229" s="7"/>
      <c r="N229" s="7"/>
      <c r="O229" s="7"/>
      <c r="P229" s="7"/>
      <c r="Q229" s="7"/>
      <c r="R229" s="7"/>
      <c r="S229" s="7"/>
      <c r="T229" s="7"/>
      <c r="U229" s="7"/>
      <c r="V229" s="7"/>
      <c r="W229" s="7"/>
    </row>
    <row r="230" spans="1:23" x14ac:dyDescent="0.25">
      <c r="A230" s="7"/>
      <c r="B230" s="7"/>
      <c r="C230" s="7"/>
      <c r="D230" s="7"/>
      <c r="E230" s="7"/>
      <c r="F230" s="7"/>
      <c r="G230" s="7"/>
      <c r="H230" s="7"/>
      <c r="I230" s="7"/>
      <c r="J230" s="7"/>
      <c r="K230" s="7"/>
      <c r="L230" s="7"/>
      <c r="M230" s="7"/>
      <c r="N230" s="7"/>
      <c r="O230" s="7"/>
      <c r="P230" s="7"/>
      <c r="Q230" s="7"/>
      <c r="R230" s="7"/>
      <c r="S230" s="7"/>
      <c r="T230" s="7"/>
      <c r="U230" s="7"/>
      <c r="V230" s="7"/>
      <c r="W230" s="7"/>
    </row>
    <row r="231" spans="1:23" x14ac:dyDescent="0.25">
      <c r="A231" s="7"/>
      <c r="B231" s="7"/>
      <c r="C231" s="7"/>
      <c r="D231" s="7"/>
      <c r="E231" s="7"/>
      <c r="F231" s="7"/>
      <c r="G231" s="7"/>
      <c r="H231" s="7"/>
      <c r="I231" s="7"/>
      <c r="J231" s="7"/>
      <c r="K231" s="7"/>
      <c r="L231" s="7"/>
      <c r="M231" s="7"/>
      <c r="N231" s="7"/>
      <c r="O231" s="7"/>
      <c r="P231" s="7"/>
      <c r="Q231" s="7"/>
      <c r="R231" s="7"/>
      <c r="S231" s="7"/>
      <c r="T231" s="7"/>
      <c r="U231" s="7"/>
      <c r="V231" s="7"/>
      <c r="W231" s="7"/>
    </row>
    <row r="232" spans="1:23" x14ac:dyDescent="0.25">
      <c r="A232" s="7"/>
      <c r="B232" s="7"/>
      <c r="C232" s="7"/>
      <c r="D232" s="7"/>
      <c r="E232" s="7"/>
      <c r="F232" s="7"/>
      <c r="G232" s="7"/>
      <c r="H232" s="7"/>
      <c r="I232" s="7"/>
      <c r="J232" s="7"/>
      <c r="K232" s="7"/>
      <c r="L232" s="7"/>
      <c r="M232" s="7"/>
      <c r="N232" s="7"/>
      <c r="O232" s="7"/>
      <c r="P232" s="7"/>
      <c r="Q232" s="7"/>
      <c r="R232" s="7"/>
      <c r="S232" s="7"/>
      <c r="T232" s="7"/>
      <c r="U232" s="7"/>
      <c r="V232" s="7"/>
      <c r="W232" s="7"/>
    </row>
    <row r="233" spans="1:23" x14ac:dyDescent="0.25">
      <c r="A233" s="7"/>
      <c r="B233" s="7"/>
      <c r="C233" s="7"/>
      <c r="D233" s="7"/>
      <c r="E233" s="7"/>
      <c r="F233" s="7"/>
      <c r="G233" s="7"/>
      <c r="H233" s="7"/>
      <c r="I233" s="7"/>
      <c r="J233" s="7"/>
      <c r="K233" s="7"/>
      <c r="L233" s="7"/>
      <c r="M233" s="7"/>
      <c r="N233" s="7"/>
      <c r="O233" s="7"/>
      <c r="P233" s="7"/>
      <c r="Q233" s="7"/>
      <c r="R233" s="7"/>
      <c r="S233" s="7"/>
      <c r="T233" s="7"/>
      <c r="U233" s="7"/>
      <c r="V233" s="7"/>
      <c r="W233" s="7"/>
    </row>
    <row r="234" spans="1:23" x14ac:dyDescent="0.25">
      <c r="A234" s="7"/>
      <c r="B234" s="7"/>
      <c r="C234" s="7"/>
      <c r="D234" s="7"/>
      <c r="E234" s="7"/>
      <c r="F234" s="7"/>
      <c r="G234" s="7"/>
      <c r="H234" s="7"/>
      <c r="I234" s="7"/>
      <c r="J234" s="7"/>
      <c r="K234" s="7"/>
      <c r="L234" s="7"/>
      <c r="M234" s="7"/>
      <c r="N234" s="7"/>
      <c r="O234" s="7"/>
      <c r="P234" s="7"/>
      <c r="Q234" s="7"/>
      <c r="R234" s="7"/>
      <c r="S234" s="7"/>
      <c r="T234" s="7"/>
      <c r="U234" s="7"/>
      <c r="V234" s="7"/>
      <c r="W234" s="7"/>
    </row>
    <row r="235" spans="1:23" x14ac:dyDescent="0.25">
      <c r="A235" s="7"/>
      <c r="B235" s="7"/>
      <c r="C235" s="7"/>
      <c r="D235" s="7"/>
      <c r="E235" s="7"/>
      <c r="F235" s="7"/>
      <c r="G235" s="7"/>
      <c r="H235" s="7"/>
      <c r="I235" s="7"/>
      <c r="J235" s="7"/>
      <c r="K235" s="7"/>
      <c r="L235" s="7"/>
      <c r="M235" s="7"/>
      <c r="N235" s="7"/>
      <c r="O235" s="7"/>
      <c r="P235" s="7"/>
      <c r="Q235" s="7"/>
      <c r="R235" s="7"/>
      <c r="S235" s="7"/>
      <c r="T235" s="7"/>
      <c r="U235" s="7"/>
      <c r="V235" s="7"/>
      <c r="W235" s="7"/>
    </row>
    <row r="236" spans="1:23" x14ac:dyDescent="0.25">
      <c r="A236" s="7"/>
      <c r="B236" s="7"/>
      <c r="C236" s="7"/>
      <c r="D236" s="7"/>
      <c r="E236" s="7"/>
      <c r="F236" s="7"/>
      <c r="G236" s="7"/>
      <c r="H236" s="7"/>
      <c r="I236" s="7"/>
      <c r="J236" s="7"/>
      <c r="K236" s="7"/>
      <c r="L236" s="7"/>
      <c r="M236" s="7"/>
      <c r="N236" s="7"/>
      <c r="O236" s="7"/>
      <c r="P236" s="7"/>
      <c r="Q236" s="7"/>
      <c r="R236" s="7"/>
      <c r="S236" s="7"/>
      <c r="T236" s="7"/>
      <c r="U236" s="7"/>
      <c r="V236" s="7"/>
      <c r="W236" s="7"/>
    </row>
    <row r="237" spans="1:23" x14ac:dyDescent="0.25">
      <c r="A237" s="7"/>
      <c r="B237" s="7"/>
      <c r="C237" s="7"/>
      <c r="D237" s="7"/>
      <c r="E237" s="7"/>
      <c r="F237" s="7"/>
      <c r="G237" s="7"/>
      <c r="H237" s="7"/>
      <c r="I237" s="7"/>
      <c r="J237" s="7"/>
      <c r="K237" s="7"/>
      <c r="L237" s="7"/>
      <c r="M237" s="7"/>
      <c r="N237" s="7"/>
      <c r="O237" s="7"/>
      <c r="P237" s="7"/>
      <c r="Q237" s="7"/>
      <c r="R237" s="7"/>
      <c r="S237" s="7"/>
      <c r="T237" s="7"/>
      <c r="U237" s="7"/>
      <c r="V237" s="7"/>
      <c r="W237" s="7"/>
    </row>
    <row r="238" spans="1:23" x14ac:dyDescent="0.25">
      <c r="A238" s="7"/>
      <c r="B238" s="7"/>
      <c r="C238" s="7"/>
      <c r="D238" s="7"/>
      <c r="E238" s="7"/>
      <c r="F238" s="7"/>
      <c r="G238" s="7"/>
      <c r="H238" s="7"/>
      <c r="I238" s="7"/>
      <c r="J238" s="7"/>
      <c r="K238" s="7"/>
      <c r="L238" s="7"/>
      <c r="M238" s="7"/>
      <c r="N238" s="7"/>
      <c r="O238" s="7"/>
      <c r="P238" s="7"/>
      <c r="Q238" s="7"/>
      <c r="R238" s="7"/>
      <c r="S238" s="7"/>
      <c r="T238" s="7"/>
      <c r="U238" s="7"/>
      <c r="V238" s="7"/>
      <c r="W238" s="7"/>
    </row>
    <row r="239" spans="1:23" x14ac:dyDescent="0.25">
      <c r="A239" s="7"/>
      <c r="B239" s="7"/>
      <c r="C239" s="7"/>
      <c r="D239" s="7"/>
      <c r="E239" s="7"/>
      <c r="F239" s="7"/>
      <c r="G239" s="7"/>
      <c r="H239" s="7"/>
      <c r="I239" s="7"/>
      <c r="J239" s="7"/>
      <c r="K239" s="7"/>
      <c r="L239" s="7"/>
      <c r="M239" s="7"/>
      <c r="N239" s="7"/>
      <c r="O239" s="7"/>
      <c r="P239" s="7"/>
      <c r="Q239" s="7"/>
      <c r="R239" s="7"/>
      <c r="S239" s="7"/>
      <c r="T239" s="7"/>
      <c r="U239" s="7"/>
      <c r="V239" s="7"/>
      <c r="W239" s="7"/>
    </row>
    <row r="240" spans="1:23" x14ac:dyDescent="0.25">
      <c r="A240" s="7"/>
      <c r="B240" s="7"/>
      <c r="C240" s="7"/>
      <c r="D240" s="7"/>
      <c r="E240" s="7"/>
      <c r="F240" s="7"/>
      <c r="G240" s="7"/>
      <c r="H240" s="7"/>
      <c r="I240" s="7"/>
      <c r="J240" s="7"/>
      <c r="K240" s="7"/>
      <c r="L240" s="7"/>
      <c r="M240" s="7"/>
      <c r="N240" s="7"/>
      <c r="O240" s="7"/>
      <c r="P240" s="7"/>
      <c r="Q240" s="7"/>
      <c r="R240" s="7"/>
      <c r="S240" s="7"/>
      <c r="T240" s="7"/>
      <c r="U240" s="7"/>
      <c r="V240" s="7"/>
      <c r="W240" s="7"/>
    </row>
    <row r="241" spans="1:23" x14ac:dyDescent="0.25">
      <c r="A241" s="7"/>
      <c r="B241" s="7"/>
      <c r="C241" s="7"/>
      <c r="D241" s="7"/>
      <c r="E241" s="7"/>
      <c r="F241" s="7"/>
      <c r="G241" s="7"/>
      <c r="H241" s="7"/>
      <c r="I241" s="7"/>
      <c r="J241" s="7"/>
      <c r="K241" s="7"/>
      <c r="L241" s="7"/>
      <c r="M241" s="7"/>
      <c r="N241" s="7"/>
      <c r="O241" s="7"/>
      <c r="P241" s="7"/>
      <c r="Q241" s="7"/>
      <c r="R241" s="7"/>
      <c r="S241" s="7"/>
      <c r="T241" s="7"/>
      <c r="U241" s="7"/>
      <c r="V241" s="7"/>
      <c r="W241" s="7"/>
    </row>
    <row r="242" spans="1:23" x14ac:dyDescent="0.25">
      <c r="A242" s="7"/>
      <c r="B242" s="7"/>
      <c r="C242" s="7"/>
      <c r="D242" s="7"/>
      <c r="E242" s="7"/>
      <c r="F242" s="7"/>
      <c r="G242" s="7"/>
      <c r="H242" s="7"/>
      <c r="I242" s="7"/>
      <c r="J242" s="7"/>
      <c r="K242" s="7"/>
      <c r="L242" s="7"/>
      <c r="M242" s="7"/>
      <c r="N242" s="7"/>
      <c r="O242" s="7"/>
      <c r="P242" s="7"/>
      <c r="Q242" s="7"/>
      <c r="R242" s="7"/>
      <c r="S242" s="7"/>
      <c r="T242" s="7"/>
      <c r="U242" s="7"/>
      <c r="V242" s="7"/>
      <c r="W242" s="7"/>
    </row>
    <row r="243" spans="1:23" x14ac:dyDescent="0.25">
      <c r="A243" s="7"/>
      <c r="B243" s="7"/>
      <c r="C243" s="7"/>
      <c r="D243" s="7"/>
      <c r="E243" s="7"/>
      <c r="F243" s="7"/>
      <c r="G243" s="7"/>
      <c r="H243" s="7"/>
      <c r="I243" s="7"/>
      <c r="J243" s="7"/>
      <c r="K243" s="7"/>
      <c r="L243" s="7"/>
      <c r="M243" s="7"/>
      <c r="N243" s="7"/>
      <c r="O243" s="7"/>
      <c r="P243" s="7"/>
      <c r="Q243" s="7"/>
      <c r="R243" s="7"/>
      <c r="S243" s="7"/>
      <c r="T243" s="7"/>
      <c r="U243" s="7"/>
      <c r="V243" s="7"/>
      <c r="W243" s="7"/>
    </row>
    <row r="244" spans="1:23" x14ac:dyDescent="0.25">
      <c r="A244" s="7"/>
      <c r="B244" s="7"/>
      <c r="C244" s="7"/>
      <c r="D244" s="7"/>
      <c r="E244" s="7"/>
      <c r="F244" s="7"/>
      <c r="G244" s="7"/>
      <c r="H244" s="7"/>
      <c r="I244" s="7"/>
      <c r="J244" s="7"/>
      <c r="K244" s="7"/>
      <c r="L244" s="7"/>
      <c r="M244" s="7"/>
      <c r="N244" s="7"/>
      <c r="O244" s="7"/>
      <c r="P244" s="7"/>
      <c r="Q244" s="7"/>
      <c r="R244" s="7"/>
      <c r="S244" s="7"/>
      <c r="T244" s="7"/>
      <c r="U244" s="7"/>
      <c r="V244" s="7"/>
      <c r="W244" s="7"/>
    </row>
    <row r="245" spans="1:23" x14ac:dyDescent="0.25">
      <c r="A245" s="7"/>
      <c r="B245" s="7"/>
      <c r="C245" s="7"/>
      <c r="D245" s="7"/>
      <c r="E245" s="7"/>
      <c r="F245" s="7"/>
      <c r="G245" s="7"/>
      <c r="H245" s="7"/>
      <c r="I245" s="7"/>
      <c r="J245" s="7"/>
      <c r="K245" s="7"/>
      <c r="L245" s="7"/>
      <c r="M245" s="7"/>
      <c r="N245" s="7"/>
      <c r="O245" s="7"/>
      <c r="P245" s="7"/>
      <c r="Q245" s="7"/>
      <c r="R245" s="7"/>
      <c r="S245" s="7"/>
      <c r="T245" s="7"/>
      <c r="U245" s="7"/>
      <c r="V245" s="7"/>
      <c r="W245" s="7"/>
    </row>
    <row r="246" spans="1:23" x14ac:dyDescent="0.25">
      <c r="A246" s="7"/>
      <c r="B246" s="7"/>
      <c r="C246" s="7"/>
      <c r="D246" s="7"/>
      <c r="E246" s="7"/>
      <c r="F246" s="7"/>
      <c r="G246" s="7"/>
      <c r="H246" s="7"/>
      <c r="I246" s="7"/>
      <c r="J246" s="7"/>
      <c r="K246" s="7"/>
      <c r="L246" s="7"/>
      <c r="M246" s="7"/>
      <c r="N246" s="7"/>
      <c r="O246" s="7"/>
      <c r="P246" s="7"/>
      <c r="Q246" s="7"/>
      <c r="R246" s="7"/>
      <c r="S246" s="7"/>
      <c r="T246" s="7"/>
      <c r="U246" s="7"/>
      <c r="V246" s="7"/>
      <c r="W246" s="7"/>
    </row>
    <row r="247" spans="1:23" x14ac:dyDescent="0.25">
      <c r="A247" s="7"/>
      <c r="B247" s="7"/>
      <c r="C247" s="7"/>
      <c r="D247" s="7"/>
      <c r="E247" s="7"/>
      <c r="F247" s="7"/>
      <c r="G247" s="7"/>
      <c r="H247" s="7"/>
      <c r="I247" s="7"/>
      <c r="J247" s="7"/>
      <c r="K247" s="7"/>
      <c r="L247" s="7"/>
      <c r="M247" s="7"/>
      <c r="N247" s="7"/>
      <c r="O247" s="7"/>
      <c r="P247" s="7"/>
      <c r="Q247" s="7"/>
      <c r="R247" s="7"/>
      <c r="S247" s="7"/>
      <c r="T247" s="7"/>
      <c r="U247" s="7"/>
      <c r="V247" s="7"/>
      <c r="W247" s="7"/>
    </row>
    <row r="248" spans="1:23" x14ac:dyDescent="0.25">
      <c r="A248" s="7"/>
      <c r="B248" s="7"/>
      <c r="C248" s="7"/>
      <c r="D248" s="7"/>
      <c r="E248" s="7"/>
      <c r="F248" s="7"/>
      <c r="G248" s="7"/>
      <c r="H248" s="7"/>
      <c r="I248" s="7"/>
      <c r="J248" s="7"/>
      <c r="K248" s="7"/>
      <c r="L248" s="7"/>
      <c r="M248" s="7"/>
      <c r="N248" s="7"/>
      <c r="O248" s="7"/>
      <c r="P248" s="7"/>
      <c r="Q248" s="7"/>
      <c r="R248" s="7"/>
      <c r="S248" s="7"/>
      <c r="T248" s="7"/>
      <c r="U248" s="7"/>
      <c r="V248" s="7"/>
      <c r="W248" s="7"/>
    </row>
    <row r="249" spans="1:23" x14ac:dyDescent="0.25">
      <c r="A249" s="7"/>
      <c r="B249" s="7"/>
      <c r="C249" s="7"/>
      <c r="D249" s="7"/>
      <c r="E249" s="7"/>
      <c r="F249" s="7"/>
      <c r="G249" s="7"/>
      <c r="H249" s="7"/>
      <c r="I249" s="7"/>
      <c r="J249" s="7"/>
      <c r="K249" s="7"/>
      <c r="L249" s="7"/>
      <c r="M249" s="7"/>
      <c r="N249" s="7"/>
      <c r="O249" s="7"/>
      <c r="P249" s="7"/>
      <c r="Q249" s="7"/>
      <c r="R249" s="7"/>
      <c r="S249" s="7"/>
      <c r="T249" s="7"/>
      <c r="U249" s="7"/>
      <c r="V249" s="7"/>
      <c r="W249" s="7"/>
    </row>
  </sheetData>
  <sheetProtection algorithmName="SHA-512" hashValue="yEvMFQUTqPXw0jmbjgJj4jcrLaxDojYVNgZ7BGJUwi/o7nj0VtPEwjVWSwSu8VfjJJGLC0Rvb9Ti8iRC3Yyy6Q==" saltValue="vPyriHKFP+jbrj5Es9J0Ag==" spinCount="100000" sheet="1" formatCells="0" formatColumns="0" formatRows="0"/>
  <mergeCells count="6">
    <mergeCell ref="C5:P5"/>
    <mergeCell ref="Q4:V5"/>
    <mergeCell ref="A3:W3"/>
    <mergeCell ref="A5:B6"/>
    <mergeCell ref="A4:B4"/>
    <mergeCell ref="W4:W6"/>
  </mergeCells>
  <pageMargins left="0.7" right="0.7" top="0.4" bottom="0.25" header="0" footer="0.05"/>
  <pageSetup scale="43" orientation="landscape" r:id="rId1"/>
  <headerFooter>
    <oddHeader>&amp;C
&amp;RPage &amp;P of &amp;N</oddHeader>
  </headerFooter>
  <rowBreaks count="3" manualBreakCount="3">
    <brk id="76" max="22" man="1"/>
    <brk id="151" max="22" man="1"/>
    <brk id="188" max="22" man="1"/>
  </rowBreaks>
  <colBreaks count="1" manualBreakCount="1">
    <brk id="23" max="22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99"/>
  </sheetPr>
  <dimension ref="A1:AY462"/>
  <sheetViews>
    <sheetView showWhiteSpace="0" zoomScale="91" zoomScaleNormal="91" zoomScaleSheetLayoutView="70" zoomScalePageLayoutView="55" workbookViewId="0"/>
  </sheetViews>
  <sheetFormatPr defaultRowHeight="15" x14ac:dyDescent="0.25"/>
  <cols>
    <col min="1" max="1" width="36.28515625" customWidth="1"/>
    <col min="2" max="2" width="10.7109375" customWidth="1"/>
    <col min="3" max="3" width="11" customWidth="1"/>
    <col min="4" max="4" width="11.28515625" customWidth="1"/>
    <col min="5" max="5" width="18.140625" customWidth="1"/>
    <col min="6" max="6" width="12.7109375" customWidth="1"/>
    <col min="7" max="7" width="12.85546875" customWidth="1"/>
    <col min="8" max="8" width="12.42578125" customWidth="1"/>
    <col min="9" max="9" width="13.7109375" customWidth="1"/>
    <col min="10" max="10" width="13.140625" customWidth="1"/>
    <col min="11" max="11" width="13.7109375" customWidth="1"/>
    <col min="12" max="12" width="13.5703125" customWidth="1"/>
    <col min="13" max="13" width="14.28515625" customWidth="1"/>
    <col min="14" max="14" width="14.140625" customWidth="1"/>
    <col min="15" max="15" width="14.28515625" customWidth="1"/>
    <col min="16" max="16" width="14.42578125" customWidth="1"/>
    <col min="17" max="17" width="13.5703125" customWidth="1"/>
    <col min="18" max="18" width="11.140625" customWidth="1"/>
    <col min="19" max="19" width="10.28515625" customWidth="1"/>
    <col min="20" max="20" width="10.140625" customWidth="1"/>
    <col min="21" max="21" width="10.5703125" customWidth="1"/>
    <col min="22" max="22" width="10.7109375" customWidth="1"/>
    <col min="23" max="23" width="11.42578125" customWidth="1"/>
    <col min="24" max="52" width="10.7109375" customWidth="1"/>
  </cols>
  <sheetData>
    <row r="1" spans="1:51" ht="15.75" x14ac:dyDescent="0.25">
      <c r="A1" s="26"/>
      <c r="B1" s="7"/>
      <c r="C1" s="7"/>
      <c r="D1" s="7"/>
      <c r="E1" s="7"/>
      <c r="F1" s="7"/>
      <c r="G1" s="7"/>
      <c r="H1" s="7"/>
      <c r="I1" s="7"/>
      <c r="J1" s="7"/>
      <c r="K1" s="7"/>
      <c r="L1" s="7"/>
      <c r="M1" s="7"/>
      <c r="N1" s="7"/>
      <c r="O1" s="7"/>
      <c r="P1" s="605" t="str">
        <f>General!A4</f>
        <v>Spreadsheets for Environmental Footprint Analysis (SEFA) Version 3.0, November 2019</v>
      </c>
      <c r="Q1" s="605"/>
      <c r="R1" s="605"/>
      <c r="S1" s="605"/>
      <c r="T1" s="605"/>
      <c r="U1" s="605"/>
      <c r="V1" s="605"/>
      <c r="W1" s="7"/>
      <c r="X1" s="210" t="s">
        <v>349</v>
      </c>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spans="1:51" ht="18" customHeight="1" x14ac:dyDescent="0.3">
      <c r="A2" s="7"/>
      <c r="B2" s="7"/>
      <c r="C2" s="7"/>
      <c r="D2" s="7"/>
      <c r="E2" s="7"/>
      <c r="F2" s="7"/>
      <c r="G2" s="7"/>
      <c r="H2" s="7"/>
      <c r="K2" s="315" t="str">
        <f ca="1">CONCATENATE("Input Worksheet for ",MID(CELL("filename",$A$1),FIND("]",CELL("filename",$A$1))+1,255))</f>
        <v>Input Worksheet for Input Template</v>
      </c>
      <c r="N2" s="7"/>
      <c r="O2" s="7"/>
      <c r="T2" s="2"/>
      <c r="V2" s="2" t="e">
        <f ca="1">CONCATENATE(General!$A3," - ", General!$A6)</f>
        <v>#REF!</v>
      </c>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ht="14.45" customHeight="1" x14ac:dyDescent="0.3">
      <c r="A3" s="7"/>
      <c r="B3" s="320"/>
      <c r="C3" s="320"/>
      <c r="D3" s="320"/>
      <c r="E3" s="320"/>
      <c r="F3" s="320"/>
      <c r="G3" s="320"/>
      <c r="H3" s="320"/>
      <c r="I3" s="320"/>
      <c r="J3" s="320"/>
      <c r="K3" s="320"/>
      <c r="L3" s="320"/>
      <c r="M3" s="320"/>
      <c r="N3" s="320"/>
      <c r="O3" s="320"/>
      <c r="P3" s="320"/>
      <c r="Q3" s="320"/>
      <c r="R3" s="320"/>
      <c r="S3" s="320"/>
      <c r="T3" s="320"/>
      <c r="U3" s="320"/>
      <c r="V3" s="320"/>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row>
    <row r="4" spans="1:51" ht="15" customHeight="1" x14ac:dyDescent="0.25">
      <c r="A4" s="606" t="s">
        <v>346</v>
      </c>
      <c r="B4" s="607"/>
      <c r="C4" s="607"/>
      <c r="D4" s="608"/>
      <c r="E4" s="612" t="s">
        <v>262</v>
      </c>
      <c r="F4" s="612"/>
      <c r="G4" s="613" t="str">
        <f ca="1">IFERROR(INDEX(General!C18:C24,MATCH($E$4,General!B18:B41,0),1),"Define Component")</f>
        <v>Define Component</v>
      </c>
      <c r="H4" s="613"/>
      <c r="I4" s="613"/>
      <c r="J4" s="613"/>
      <c r="K4" s="250">
        <f>INDEX(General!A18:A24,MATCH($E$4,General!B18:B41,0),1)</f>
        <v>1</v>
      </c>
      <c r="L4" s="34"/>
      <c r="M4" s="340"/>
      <c r="N4" s="340"/>
      <c r="O4" s="34"/>
      <c r="P4" s="34"/>
      <c r="Q4" s="34"/>
      <c r="R4" s="34"/>
      <c r="S4" s="34"/>
      <c r="T4" s="34"/>
      <c r="U4" s="34"/>
      <c r="V4" s="34"/>
      <c r="W4" s="34"/>
      <c r="X4" s="7"/>
      <c r="Y4" s="7"/>
      <c r="Z4" s="7"/>
      <c r="AA4" s="7"/>
      <c r="AB4" s="7"/>
      <c r="AC4" s="7"/>
      <c r="AD4" s="7"/>
      <c r="AE4" s="7"/>
      <c r="AF4" s="7"/>
      <c r="AG4" s="7"/>
      <c r="AH4" s="7"/>
      <c r="AI4" s="7"/>
      <c r="AJ4" s="7"/>
      <c r="AK4" s="7"/>
      <c r="AL4" s="7"/>
      <c r="AM4" s="7"/>
      <c r="AN4" s="7"/>
      <c r="AO4" s="7"/>
      <c r="AP4" s="7"/>
      <c r="AQ4" s="7"/>
      <c r="AR4" s="7"/>
      <c r="AS4" s="7"/>
      <c r="AT4" s="7"/>
      <c r="AU4" s="7"/>
      <c r="AV4" s="7"/>
      <c r="AW4" s="7"/>
      <c r="AX4" s="7"/>
      <c r="AY4" s="7"/>
    </row>
    <row r="5" spans="1:51" ht="15" customHeight="1" x14ac:dyDescent="0.25">
      <c r="A5" s="609"/>
      <c r="B5" s="610"/>
      <c r="C5" s="610"/>
      <c r="D5" s="611"/>
      <c r="E5" s="612"/>
      <c r="F5" s="612"/>
      <c r="G5" s="613"/>
      <c r="H5" s="613"/>
      <c r="I5" s="613"/>
      <c r="J5" s="613"/>
      <c r="K5" s="250"/>
      <c r="L5" s="34"/>
      <c r="M5" s="340"/>
      <c r="N5" s="340"/>
      <c r="O5" s="34"/>
      <c r="P5" s="34"/>
      <c r="Q5" s="34"/>
      <c r="R5" s="34"/>
      <c r="S5" s="34"/>
      <c r="T5" s="34"/>
      <c r="U5" s="34"/>
      <c r="V5" s="34"/>
      <c r="W5" s="34"/>
      <c r="X5" s="7"/>
      <c r="Y5" s="7"/>
      <c r="Z5" s="7"/>
      <c r="AA5" s="7"/>
      <c r="AB5" s="7"/>
      <c r="AC5" s="7"/>
      <c r="AD5" s="7"/>
      <c r="AE5" s="7"/>
      <c r="AF5" s="7"/>
      <c r="AG5" s="7"/>
      <c r="AH5" s="7"/>
      <c r="AI5" s="7"/>
      <c r="AJ5" s="7"/>
      <c r="AK5" s="7"/>
      <c r="AL5" s="7"/>
      <c r="AM5" s="7"/>
      <c r="AN5" s="7"/>
      <c r="AO5" s="7"/>
      <c r="AP5" s="7"/>
      <c r="AQ5" s="7"/>
      <c r="AR5" s="7"/>
      <c r="AS5" s="7"/>
      <c r="AT5" s="7"/>
      <c r="AU5" s="7"/>
      <c r="AV5" s="7"/>
      <c r="AW5" s="7"/>
      <c r="AX5" s="7"/>
      <c r="AY5" s="7"/>
    </row>
    <row r="6" spans="1:51" x14ac:dyDescent="0.25">
      <c r="A6" s="145"/>
      <c r="B6" s="22"/>
      <c r="C6" s="22"/>
      <c r="D6" s="22"/>
      <c r="E6" s="22"/>
      <c r="F6" s="22"/>
      <c r="G6" s="22"/>
      <c r="H6" s="22"/>
      <c r="I6" s="145"/>
      <c r="J6" s="146"/>
      <c r="K6" s="146"/>
      <c r="L6" s="289"/>
      <c r="M6" s="289"/>
      <c r="N6" s="289"/>
      <c r="O6" s="289"/>
      <c r="P6" s="289"/>
      <c r="Q6" s="289"/>
      <c r="R6" s="289"/>
      <c r="S6" s="289"/>
      <c r="T6" s="289"/>
      <c r="U6" s="289"/>
      <c r="V6" s="289"/>
      <c r="W6" s="289"/>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x14ac:dyDescent="0.25">
      <c r="A7" s="10" t="s">
        <v>26</v>
      </c>
      <c r="B7" s="22"/>
      <c r="C7" s="22"/>
      <c r="D7" s="22"/>
      <c r="E7" s="22"/>
      <c r="F7" s="22"/>
      <c r="G7" s="22"/>
      <c r="H7" s="22"/>
      <c r="I7" s="581" t="s">
        <v>99</v>
      </c>
      <c r="J7" s="581"/>
      <c r="K7" s="581"/>
      <c r="L7" s="581"/>
      <c r="M7" s="146"/>
      <c r="N7" s="146"/>
      <c r="O7" s="146"/>
      <c r="P7" s="11"/>
      <c r="Q7" s="581" t="s">
        <v>532</v>
      </c>
      <c r="R7" s="581"/>
      <c r="S7" s="581"/>
      <c r="T7" s="11"/>
      <c r="U7" s="11"/>
      <c r="V7" s="11"/>
      <c r="W7" s="11"/>
      <c r="X7" s="7"/>
      <c r="Y7" s="7"/>
      <c r="Z7" s="7"/>
      <c r="AA7" s="7"/>
      <c r="AB7" s="7"/>
      <c r="AC7" s="7"/>
      <c r="AD7" s="7"/>
      <c r="AE7" s="7"/>
      <c r="AF7" s="7"/>
      <c r="AG7" s="7"/>
      <c r="AH7" s="7"/>
      <c r="AI7" s="7"/>
      <c r="AJ7" s="7"/>
      <c r="AK7" s="7"/>
      <c r="AL7" s="7"/>
      <c r="AM7" s="7"/>
      <c r="AN7" s="7"/>
      <c r="AO7" s="7"/>
      <c r="AP7" s="7"/>
      <c r="AQ7" s="7"/>
      <c r="AR7" s="7"/>
      <c r="AS7" s="7"/>
      <c r="AT7" s="7"/>
      <c r="AU7" s="7"/>
      <c r="AV7" s="7"/>
      <c r="AW7" s="7"/>
      <c r="AX7" s="7"/>
      <c r="AY7" s="7"/>
    </row>
    <row r="8" spans="1:51" x14ac:dyDescent="0.25">
      <c r="A8" s="614"/>
      <c r="B8" s="615"/>
      <c r="C8" s="615"/>
      <c r="D8" s="615"/>
      <c r="E8" s="615"/>
      <c r="F8" s="615"/>
      <c r="G8" s="615"/>
      <c r="H8" s="616"/>
      <c r="I8" s="614"/>
      <c r="J8" s="615"/>
      <c r="K8" s="615"/>
      <c r="L8" s="615"/>
      <c r="M8" s="615"/>
      <c r="N8" s="615"/>
      <c r="O8" s="616"/>
      <c r="P8" s="11"/>
      <c r="Q8" s="614"/>
      <c r="R8" s="615"/>
      <c r="S8" s="615"/>
      <c r="T8" s="615"/>
      <c r="U8" s="615"/>
      <c r="V8" s="616"/>
      <c r="W8" s="11"/>
      <c r="X8" s="7"/>
      <c r="Y8" s="7"/>
      <c r="Z8" s="7"/>
      <c r="AA8" s="7"/>
      <c r="AB8" s="7"/>
      <c r="AC8" s="7"/>
      <c r="AD8" s="7"/>
      <c r="AE8" s="7"/>
      <c r="AF8" s="7"/>
      <c r="AG8" s="7"/>
      <c r="AH8" s="7"/>
      <c r="AI8" s="7"/>
      <c r="AJ8" s="7"/>
      <c r="AK8" s="7"/>
      <c r="AL8" s="7"/>
      <c r="AM8" s="7"/>
      <c r="AN8" s="7"/>
      <c r="AO8" s="7"/>
      <c r="AP8" s="7"/>
      <c r="AQ8" s="7"/>
      <c r="AR8" s="7"/>
      <c r="AS8" s="7"/>
      <c r="AT8" s="7"/>
      <c r="AU8" s="7"/>
      <c r="AV8" s="7"/>
      <c r="AW8" s="7"/>
      <c r="AX8" s="7"/>
      <c r="AY8" s="7"/>
    </row>
    <row r="9" spans="1:51" x14ac:dyDescent="0.25">
      <c r="A9" s="617"/>
      <c r="B9" s="618"/>
      <c r="C9" s="618"/>
      <c r="D9" s="618"/>
      <c r="E9" s="618"/>
      <c r="F9" s="618"/>
      <c r="G9" s="618"/>
      <c r="H9" s="619"/>
      <c r="I9" s="617"/>
      <c r="J9" s="618"/>
      <c r="K9" s="618"/>
      <c r="L9" s="618"/>
      <c r="M9" s="618"/>
      <c r="N9" s="618"/>
      <c r="O9" s="619"/>
      <c r="P9" s="11"/>
      <c r="Q9" s="617"/>
      <c r="R9" s="618"/>
      <c r="S9" s="618"/>
      <c r="T9" s="618"/>
      <c r="U9" s="618"/>
      <c r="V9" s="619"/>
      <c r="W9" s="11"/>
      <c r="X9" s="7"/>
      <c r="Y9" s="7"/>
      <c r="Z9" s="7"/>
      <c r="AA9" s="7"/>
      <c r="AB9" s="7"/>
      <c r="AC9" s="7"/>
      <c r="AD9" s="7"/>
      <c r="AE9" s="7"/>
      <c r="AF9" s="7"/>
      <c r="AG9" s="7"/>
      <c r="AH9" s="7"/>
      <c r="AI9" s="7"/>
      <c r="AJ9" s="7"/>
      <c r="AK9" s="7"/>
      <c r="AL9" s="7"/>
      <c r="AM9" s="7"/>
      <c r="AN9" s="7"/>
      <c r="AO9" s="7"/>
      <c r="AP9" s="7"/>
      <c r="AQ9" s="7"/>
      <c r="AR9" s="7"/>
      <c r="AS9" s="7"/>
      <c r="AT9" s="7"/>
      <c r="AU9" s="7"/>
      <c r="AV9" s="7"/>
      <c r="AW9" s="7"/>
      <c r="AX9" s="7"/>
      <c r="AY9" s="7"/>
    </row>
    <row r="10" spans="1:51" x14ac:dyDescent="0.25">
      <c r="A10" s="617"/>
      <c r="B10" s="618"/>
      <c r="C10" s="618"/>
      <c r="D10" s="618"/>
      <c r="E10" s="618"/>
      <c r="F10" s="618"/>
      <c r="G10" s="618"/>
      <c r="H10" s="619"/>
      <c r="I10" s="617"/>
      <c r="J10" s="618"/>
      <c r="K10" s="618"/>
      <c r="L10" s="618"/>
      <c r="M10" s="618"/>
      <c r="N10" s="618"/>
      <c r="O10" s="619"/>
      <c r="P10" s="11"/>
      <c r="Q10" s="617"/>
      <c r="R10" s="618"/>
      <c r="S10" s="618"/>
      <c r="T10" s="618"/>
      <c r="U10" s="618"/>
      <c r="V10" s="619"/>
      <c r="W10" s="11"/>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row>
    <row r="11" spans="1:51" x14ac:dyDescent="0.25">
      <c r="A11" s="617"/>
      <c r="B11" s="618"/>
      <c r="C11" s="618"/>
      <c r="D11" s="618"/>
      <c r="E11" s="618"/>
      <c r="F11" s="618"/>
      <c r="G11" s="618"/>
      <c r="H11" s="619"/>
      <c r="I11" s="617"/>
      <c r="J11" s="618"/>
      <c r="K11" s="618"/>
      <c r="L11" s="618"/>
      <c r="M11" s="618"/>
      <c r="N11" s="618"/>
      <c r="O11" s="619"/>
      <c r="P11" s="11"/>
      <c r="Q11" s="617"/>
      <c r="R11" s="618"/>
      <c r="S11" s="618"/>
      <c r="T11" s="618"/>
      <c r="U11" s="618"/>
      <c r="V11" s="619"/>
      <c r="W11" s="11"/>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row>
    <row r="12" spans="1:51" x14ac:dyDescent="0.25">
      <c r="A12" s="620"/>
      <c r="B12" s="621"/>
      <c r="C12" s="621"/>
      <c r="D12" s="621"/>
      <c r="E12" s="621"/>
      <c r="F12" s="621"/>
      <c r="G12" s="621"/>
      <c r="H12" s="622"/>
      <c r="I12" s="620"/>
      <c r="J12" s="621"/>
      <c r="K12" s="621"/>
      <c r="L12" s="621"/>
      <c r="M12" s="621"/>
      <c r="N12" s="621"/>
      <c r="O12" s="622"/>
      <c r="P12" s="11"/>
      <c r="Q12" s="617"/>
      <c r="R12" s="618"/>
      <c r="S12" s="618"/>
      <c r="T12" s="618"/>
      <c r="U12" s="618"/>
      <c r="V12" s="619"/>
      <c r="W12" s="11"/>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row>
    <row r="13" spans="1:51" x14ac:dyDescent="0.25">
      <c r="A13" s="26"/>
      <c r="B13" s="7"/>
      <c r="C13" s="7"/>
      <c r="D13" s="7"/>
      <c r="E13" s="7"/>
      <c r="F13" s="7"/>
      <c r="G13" s="7"/>
      <c r="H13" s="7"/>
      <c r="I13" s="7"/>
      <c r="J13" s="7"/>
      <c r="K13" s="7"/>
      <c r="L13" s="7"/>
      <c r="M13" s="7"/>
      <c r="N13" s="7"/>
      <c r="O13" s="7"/>
      <c r="P13" s="7"/>
      <c r="Q13" s="617"/>
      <c r="R13" s="618"/>
      <c r="S13" s="618"/>
      <c r="T13" s="618"/>
      <c r="U13" s="618"/>
      <c r="V13" s="619"/>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row>
    <row r="14" spans="1:51" x14ac:dyDescent="0.25">
      <c r="A14" s="10" t="s">
        <v>269</v>
      </c>
      <c r="P14" s="7"/>
      <c r="Q14" s="617"/>
      <c r="R14" s="618"/>
      <c r="S14" s="618"/>
      <c r="T14" s="618"/>
      <c r="U14" s="618"/>
      <c r="V14" s="619"/>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row>
    <row r="15" spans="1:51" ht="57.6" customHeight="1" x14ac:dyDescent="0.25">
      <c r="A15" s="531" t="s">
        <v>17</v>
      </c>
      <c r="B15" s="533"/>
      <c r="C15" s="467" t="s">
        <v>183</v>
      </c>
      <c r="D15" s="101" t="s">
        <v>350</v>
      </c>
      <c r="E15" s="531" t="s">
        <v>514</v>
      </c>
      <c r="F15" s="533"/>
      <c r="G15" s="101" t="s">
        <v>533</v>
      </c>
      <c r="H15" s="101" t="s">
        <v>351</v>
      </c>
      <c r="I15" s="101" t="s">
        <v>511</v>
      </c>
      <c r="J15" s="101" t="s">
        <v>512</v>
      </c>
      <c r="K15" s="101" t="s">
        <v>513</v>
      </c>
      <c r="L15" s="568" t="s">
        <v>19</v>
      </c>
      <c r="M15" s="568"/>
      <c r="N15" s="568"/>
      <c r="O15" s="568"/>
      <c r="P15" s="7"/>
      <c r="Q15" s="617"/>
      <c r="R15" s="618"/>
      <c r="S15" s="618"/>
      <c r="T15" s="618"/>
      <c r="U15" s="618"/>
      <c r="V15" s="619"/>
      <c r="W15" s="28"/>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t="s">
        <v>283</v>
      </c>
    </row>
    <row r="16" spans="1:51" x14ac:dyDescent="0.25">
      <c r="A16" s="504"/>
      <c r="B16" s="506"/>
      <c r="C16" s="15"/>
      <c r="D16" s="15"/>
      <c r="E16" s="603"/>
      <c r="F16" s="604"/>
      <c r="G16" s="97"/>
      <c r="H16" s="41" t="str">
        <f>IF((C16*D16)=0,"",C16*D16)</f>
        <v/>
      </c>
      <c r="I16" s="41" t="str">
        <f>IFERROR(VLOOKUP(E16,Lookup!$A$11:$G$22,MATCH(G16,Lookup!$B$8:$G$8,0)+1,0),"")</f>
        <v/>
      </c>
      <c r="J16" s="15"/>
      <c r="K16" s="41" t="str">
        <f t="shared" ref="K16:K24" si="0">IFERROR(IF(J16=0,ROUND(H16/I16,1),ROUND(H16/J16,1)), "")</f>
        <v/>
      </c>
      <c r="L16" s="602"/>
      <c r="M16" s="602"/>
      <c r="N16" s="602"/>
      <c r="O16" s="602"/>
      <c r="P16" s="7"/>
      <c r="Q16" s="617"/>
      <c r="R16" s="618"/>
      <c r="S16" s="618"/>
      <c r="T16" s="618"/>
      <c r="U16" s="618"/>
      <c r="V16" s="619"/>
      <c r="W16" s="29"/>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row>
    <row r="17" spans="1:51" x14ac:dyDescent="0.25">
      <c r="A17" s="504"/>
      <c r="B17" s="506"/>
      <c r="C17" s="15"/>
      <c r="D17" s="15"/>
      <c r="E17" s="603"/>
      <c r="F17" s="604"/>
      <c r="G17" s="97"/>
      <c r="H17" s="41" t="str">
        <f t="shared" ref="H17:H26" si="1">IF((C17*D17)=0,"",C17*D17)</f>
        <v/>
      </c>
      <c r="I17" s="41" t="str">
        <f>IFERROR(VLOOKUP(E17,Lookup!$A$11:$G$22,MATCH(G17,Lookup!$B$8:$G$8,0)+1,0),"")</f>
        <v/>
      </c>
      <c r="J17" s="15"/>
      <c r="K17" s="41" t="str">
        <f t="shared" si="0"/>
        <v/>
      </c>
      <c r="L17" s="602"/>
      <c r="M17" s="602"/>
      <c r="N17" s="602"/>
      <c r="O17" s="602"/>
      <c r="P17" s="7"/>
      <c r="Q17" s="617"/>
      <c r="R17" s="618"/>
      <c r="S17" s="618"/>
      <c r="T17" s="618"/>
      <c r="U17" s="618"/>
      <c r="V17" s="619"/>
      <c r="W17" s="29"/>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row>
    <row r="18" spans="1:51" x14ac:dyDescent="0.25">
      <c r="A18" s="504"/>
      <c r="B18" s="506"/>
      <c r="C18" s="15"/>
      <c r="D18" s="15"/>
      <c r="E18" s="603"/>
      <c r="F18" s="604"/>
      <c r="G18" s="97"/>
      <c r="H18" s="41" t="str">
        <f t="shared" si="1"/>
        <v/>
      </c>
      <c r="I18" s="41" t="str">
        <f>IFERROR(VLOOKUP(E18,Lookup!$A$11:$G$22,MATCH(G18,Lookup!$B$8:$G$8,0)+1,0),"")</f>
        <v/>
      </c>
      <c r="J18" s="15"/>
      <c r="K18" s="41" t="str">
        <f t="shared" si="0"/>
        <v/>
      </c>
      <c r="L18" s="602"/>
      <c r="M18" s="602"/>
      <c r="N18" s="602"/>
      <c r="O18" s="602"/>
      <c r="P18" s="7"/>
      <c r="Q18" s="617"/>
      <c r="R18" s="618"/>
      <c r="S18" s="618"/>
      <c r="T18" s="618"/>
      <c r="U18" s="618"/>
      <c r="V18" s="619"/>
      <c r="W18" s="29"/>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row>
    <row r="19" spans="1:51" x14ac:dyDescent="0.25">
      <c r="A19" s="504"/>
      <c r="B19" s="506"/>
      <c r="C19" s="15"/>
      <c r="D19" s="15"/>
      <c r="E19" s="603"/>
      <c r="F19" s="604"/>
      <c r="G19" s="97"/>
      <c r="H19" s="41" t="str">
        <f t="shared" si="1"/>
        <v/>
      </c>
      <c r="I19" s="41" t="str">
        <f>IFERROR(VLOOKUP(E19,Lookup!$A$11:$G$22,MATCH(G19,Lookup!$B$8:$G$8,0)+1,0),"")</f>
        <v/>
      </c>
      <c r="J19" s="15"/>
      <c r="K19" s="41" t="str">
        <f t="shared" si="0"/>
        <v/>
      </c>
      <c r="L19" s="602"/>
      <c r="M19" s="602"/>
      <c r="N19" s="602"/>
      <c r="O19" s="602"/>
      <c r="P19" s="7"/>
      <c r="Q19" s="617"/>
      <c r="R19" s="618"/>
      <c r="S19" s="618"/>
      <c r="T19" s="618"/>
      <c r="U19" s="618"/>
      <c r="V19" s="619"/>
      <c r="W19" s="29"/>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row>
    <row r="20" spans="1:51" x14ac:dyDescent="0.25">
      <c r="A20" s="504"/>
      <c r="B20" s="506"/>
      <c r="C20" s="15"/>
      <c r="D20" s="15"/>
      <c r="E20" s="603"/>
      <c r="F20" s="604"/>
      <c r="G20" s="97"/>
      <c r="H20" s="41" t="str">
        <f t="shared" si="1"/>
        <v/>
      </c>
      <c r="I20" s="41" t="str">
        <f>IFERROR(VLOOKUP(E20,Lookup!$A$11:$G$22,MATCH(G20,Lookup!$B$8:$G$8,0)+1,0),"")</f>
        <v/>
      </c>
      <c r="J20" s="15"/>
      <c r="K20" s="41" t="str">
        <f t="shared" si="0"/>
        <v/>
      </c>
      <c r="L20" s="602"/>
      <c r="M20" s="602"/>
      <c r="N20" s="602"/>
      <c r="O20" s="602"/>
      <c r="P20" s="7"/>
      <c r="Q20" s="617"/>
      <c r="R20" s="618"/>
      <c r="S20" s="618"/>
      <c r="T20" s="618"/>
      <c r="U20" s="618"/>
      <c r="V20" s="619"/>
      <c r="W20" s="29"/>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row>
    <row r="21" spans="1:51" ht="15.75" customHeight="1" x14ac:dyDescent="0.25">
      <c r="A21" s="504"/>
      <c r="B21" s="506"/>
      <c r="C21" s="15"/>
      <c r="D21" s="15"/>
      <c r="E21" s="603"/>
      <c r="F21" s="604"/>
      <c r="G21" s="97"/>
      <c r="H21" s="41" t="str">
        <f t="shared" si="1"/>
        <v/>
      </c>
      <c r="I21" s="41" t="str">
        <f>IFERROR(VLOOKUP(E21,Lookup!$A$11:$G$22,MATCH(G21,Lookup!$B$8:$G$8,0)+1,0),"")</f>
        <v/>
      </c>
      <c r="J21" s="15"/>
      <c r="K21" s="41" t="str">
        <f t="shared" si="0"/>
        <v/>
      </c>
      <c r="L21" s="602"/>
      <c r="M21" s="602"/>
      <c r="N21" s="602"/>
      <c r="O21" s="602"/>
      <c r="P21" s="7"/>
      <c r="Q21" s="617"/>
      <c r="R21" s="618"/>
      <c r="S21" s="618"/>
      <c r="T21" s="618"/>
      <c r="U21" s="618"/>
      <c r="V21" s="619"/>
      <c r="W21" s="29"/>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row>
    <row r="22" spans="1:51" ht="15" customHeight="1" x14ac:dyDescent="0.25">
      <c r="A22" s="504"/>
      <c r="B22" s="506"/>
      <c r="C22" s="15"/>
      <c r="D22" s="15"/>
      <c r="E22" s="603"/>
      <c r="F22" s="604"/>
      <c r="G22" s="97"/>
      <c r="H22" s="41" t="str">
        <f t="shared" si="1"/>
        <v/>
      </c>
      <c r="I22" s="41" t="str">
        <f>IFERROR(VLOOKUP(E22,Lookup!$A$11:$G$22,MATCH(G22,Lookup!$B$8:$G$8,0)+1,0),"")</f>
        <v/>
      </c>
      <c r="J22" s="15"/>
      <c r="K22" s="41" t="str">
        <f t="shared" si="0"/>
        <v/>
      </c>
      <c r="L22" s="602"/>
      <c r="M22" s="602"/>
      <c r="N22" s="602"/>
      <c r="O22" s="602"/>
      <c r="P22" s="7"/>
      <c r="Q22" s="617"/>
      <c r="R22" s="618"/>
      <c r="S22" s="618"/>
      <c r="T22" s="618"/>
      <c r="U22" s="618"/>
      <c r="V22" s="619"/>
      <c r="W22" s="29"/>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row>
    <row r="23" spans="1:51" ht="15" customHeight="1" x14ac:dyDescent="0.25">
      <c r="A23" s="504"/>
      <c r="B23" s="506"/>
      <c r="C23" s="15"/>
      <c r="D23" s="15"/>
      <c r="E23" s="603"/>
      <c r="F23" s="604"/>
      <c r="G23" s="97"/>
      <c r="H23" s="41" t="str">
        <f t="shared" si="1"/>
        <v/>
      </c>
      <c r="I23" s="41" t="str">
        <f>IFERROR(VLOOKUP(E23,Lookup!$A$11:$G$22,MATCH(G23,Lookup!$B$8:$G$8,0)+1,0),"")</f>
        <v/>
      </c>
      <c r="J23" s="15"/>
      <c r="K23" s="41" t="str">
        <f t="shared" si="0"/>
        <v/>
      </c>
      <c r="L23" s="602"/>
      <c r="M23" s="602"/>
      <c r="N23" s="602"/>
      <c r="O23" s="602"/>
      <c r="P23" s="7"/>
      <c r="Q23" s="617"/>
      <c r="R23" s="618"/>
      <c r="S23" s="618"/>
      <c r="T23" s="618"/>
      <c r="U23" s="618"/>
      <c r="V23" s="619"/>
      <c r="W23" s="29"/>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row>
    <row r="24" spans="1:51" ht="15" customHeight="1" x14ac:dyDescent="0.25">
      <c r="A24" s="504"/>
      <c r="B24" s="506"/>
      <c r="C24" s="15"/>
      <c r="D24" s="15"/>
      <c r="E24" s="603"/>
      <c r="F24" s="604"/>
      <c r="G24" s="97"/>
      <c r="H24" s="41" t="str">
        <f t="shared" si="1"/>
        <v/>
      </c>
      <c r="I24" s="41" t="str">
        <f>IFERROR(VLOOKUP(E24,Lookup!$A$11:$G$22,MATCH(G24,Lookup!$B$8:$G$8,0)+1,0),"")</f>
        <v/>
      </c>
      <c r="J24" s="15"/>
      <c r="K24" s="41" t="str">
        <f t="shared" si="0"/>
        <v/>
      </c>
      <c r="L24" s="602"/>
      <c r="M24" s="602"/>
      <c r="N24" s="602"/>
      <c r="O24" s="602"/>
      <c r="P24" s="7"/>
      <c r="Q24" s="617"/>
      <c r="R24" s="618"/>
      <c r="S24" s="618"/>
      <c r="T24" s="618"/>
      <c r="U24" s="618"/>
      <c r="V24" s="619"/>
      <c r="W24" s="29"/>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row>
    <row r="25" spans="1:51" ht="15" customHeight="1" x14ac:dyDescent="0.25">
      <c r="A25" s="504"/>
      <c r="B25" s="506"/>
      <c r="C25" s="15"/>
      <c r="D25" s="15"/>
      <c r="E25" s="504"/>
      <c r="F25" s="506"/>
      <c r="G25" s="97"/>
      <c r="H25" s="41" t="str">
        <f t="shared" si="1"/>
        <v/>
      </c>
      <c r="I25" s="15"/>
      <c r="J25" s="15"/>
      <c r="K25" s="41" t="str">
        <f>IFERROR(IF(J25=0,ROUND(H25/I25,1),ROUND(H25/J25,1)), "")</f>
        <v/>
      </c>
      <c r="L25" s="602"/>
      <c r="M25" s="602"/>
      <c r="N25" s="602"/>
      <c r="O25" s="602"/>
      <c r="P25" s="7"/>
      <c r="Q25" s="617"/>
      <c r="R25" s="618"/>
      <c r="S25" s="618"/>
      <c r="T25" s="618"/>
      <c r="U25" s="618"/>
      <c r="V25" s="619"/>
      <c r="W25" s="29"/>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row>
    <row r="26" spans="1:51" ht="15" customHeight="1" x14ac:dyDescent="0.25">
      <c r="A26" s="504"/>
      <c r="B26" s="506"/>
      <c r="C26" s="15"/>
      <c r="D26" s="15"/>
      <c r="E26" s="504"/>
      <c r="F26" s="506"/>
      <c r="G26" s="97"/>
      <c r="H26" s="41" t="str">
        <f t="shared" si="1"/>
        <v/>
      </c>
      <c r="I26" s="15"/>
      <c r="J26" s="15"/>
      <c r="K26" s="41" t="str">
        <f>IFERROR(IF(J26=0,ROUND(H26/I26,1),ROUND(H26/J26,1)), "")</f>
        <v/>
      </c>
      <c r="L26" s="602"/>
      <c r="M26" s="602"/>
      <c r="N26" s="602"/>
      <c r="O26" s="602"/>
      <c r="P26" s="7"/>
      <c r="Q26" s="620"/>
      <c r="R26" s="621"/>
      <c r="S26" s="621"/>
      <c r="T26" s="621"/>
      <c r="U26" s="621"/>
      <c r="V26" s="622"/>
      <c r="W26" s="29"/>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row>
    <row r="27" spans="1:51" ht="15" customHeight="1" x14ac:dyDescent="0.25">
      <c r="A27" s="600" t="s">
        <v>510</v>
      </c>
      <c r="B27" s="600"/>
      <c r="C27" s="600"/>
      <c r="D27" s="443"/>
      <c r="E27" s="600" t="s">
        <v>844</v>
      </c>
      <c r="F27" s="600"/>
      <c r="G27" s="600"/>
      <c r="H27" s="600"/>
      <c r="I27" s="600"/>
      <c r="J27" s="600"/>
      <c r="K27" s="600"/>
      <c r="L27" s="600"/>
      <c r="M27" s="600"/>
      <c r="N27" s="600"/>
      <c r="O27" s="600"/>
      <c r="P27" s="226"/>
      <c r="Q27" s="226"/>
      <c r="R27" s="226"/>
      <c r="V27" s="50"/>
      <c r="W27" s="29"/>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row>
    <row r="28" spans="1:51" ht="15" customHeight="1" x14ac:dyDescent="0.25">
      <c r="A28" s="601"/>
      <c r="B28" s="601"/>
      <c r="C28" s="601"/>
      <c r="D28" s="444"/>
      <c r="E28" s="601"/>
      <c r="F28" s="601"/>
      <c r="G28" s="601"/>
      <c r="H28" s="601"/>
      <c r="I28" s="601"/>
      <c r="J28" s="601"/>
      <c r="K28" s="601"/>
      <c r="L28" s="601"/>
      <c r="M28" s="601"/>
      <c r="N28" s="601"/>
      <c r="O28" s="601"/>
      <c r="P28" s="226"/>
      <c r="Q28" s="226"/>
      <c r="R28" s="226"/>
      <c r="V28" s="50"/>
      <c r="W28" s="29"/>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row>
    <row r="29" spans="1:51" ht="15" customHeight="1" x14ac:dyDescent="0.25">
      <c r="A29" s="42" t="s">
        <v>270</v>
      </c>
      <c r="B29" s="7"/>
      <c r="C29" s="7"/>
      <c r="D29" s="7"/>
      <c r="E29" s="7"/>
      <c r="F29" s="7"/>
      <c r="G29" s="7"/>
      <c r="H29" s="7"/>
      <c r="I29" s="7"/>
      <c r="J29" s="7"/>
      <c r="K29" s="7"/>
      <c r="L29" s="7"/>
      <c r="M29" s="7"/>
      <c r="N29" s="7"/>
      <c r="O29" s="7"/>
      <c r="P29" s="7"/>
      <c r="Q29" s="7"/>
      <c r="R29" s="7"/>
      <c r="S29" s="7"/>
      <c r="T29" s="27"/>
      <c r="U29" s="7"/>
      <c r="V29" s="7"/>
      <c r="W29" s="29"/>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row>
    <row r="30" spans="1:51" ht="69.599999999999994" customHeight="1" x14ac:dyDescent="0.25">
      <c r="A30" s="531" t="s">
        <v>515</v>
      </c>
      <c r="B30" s="533"/>
      <c r="C30" s="101" t="s">
        <v>516</v>
      </c>
      <c r="D30" s="101" t="s">
        <v>517</v>
      </c>
      <c r="E30" s="101" t="s">
        <v>706</v>
      </c>
      <c r="F30" s="101" t="s">
        <v>845</v>
      </c>
      <c r="G30" s="101" t="s">
        <v>352</v>
      </c>
      <c r="H30" s="101" t="s">
        <v>847</v>
      </c>
      <c r="I30" s="101" t="s">
        <v>671</v>
      </c>
      <c r="J30" s="101" t="s">
        <v>353</v>
      </c>
      <c r="K30" s="101" t="s">
        <v>350</v>
      </c>
      <c r="L30" s="101" t="s">
        <v>351</v>
      </c>
      <c r="M30" s="101" t="s">
        <v>669</v>
      </c>
      <c r="N30" s="101" t="s">
        <v>846</v>
      </c>
      <c r="O30" s="101" t="s">
        <v>848</v>
      </c>
      <c r="P30" s="101" t="s">
        <v>849</v>
      </c>
      <c r="Q30" s="101" t="s">
        <v>850</v>
      </c>
      <c r="R30" s="531" t="s">
        <v>19</v>
      </c>
      <c r="S30" s="532"/>
      <c r="T30" s="532"/>
      <c r="U30" s="532"/>
      <c r="V30" s="533"/>
      <c r="W30" s="255"/>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row>
    <row r="31" spans="1:51" x14ac:dyDescent="0.25">
      <c r="A31" s="598"/>
      <c r="B31" s="599"/>
      <c r="C31" s="14"/>
      <c r="D31" s="33"/>
      <c r="E31" s="98"/>
      <c r="F31" s="43" t="str">
        <f>IFERROR(VLOOKUP(E31,Lookup!$A$30:$C$41,3)*D31*C31,"")</f>
        <v/>
      </c>
      <c r="G31" s="14"/>
      <c r="H31" s="43" t="str">
        <f>IFERROR(G31*F31,"")</f>
        <v/>
      </c>
      <c r="I31" s="14"/>
      <c r="J31" s="14"/>
      <c r="K31" s="14"/>
      <c r="L31" s="43" t="str">
        <f>IF((K31*J31)=0,"",K31*J31)</f>
        <v/>
      </c>
      <c r="M31" s="363"/>
      <c r="N31" s="97"/>
      <c r="O31" s="43" t="str">
        <f>IFERROR(VLOOKUP(M31,Lookup!$H$48:$K$61,MATCH(N31,Lookup!$I$48:$K$48,0)+1,0),"")</f>
        <v/>
      </c>
      <c r="P31" s="15"/>
      <c r="Q31" s="43" t="str">
        <f>IFERROR(ROUND(IF(RIGHT(M31,6)="(gptm)",I31*IF(P31=0,O31,P31)*L31,L31/IF(P31=0,O31,P31)),1),"")</f>
        <v/>
      </c>
      <c r="R31" s="625"/>
      <c r="S31" s="625"/>
      <c r="T31" s="625"/>
      <c r="U31" s="625"/>
      <c r="V31" s="626"/>
      <c r="W31" s="255"/>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row>
    <row r="32" spans="1:51" x14ac:dyDescent="0.25">
      <c r="A32" s="598"/>
      <c r="B32" s="599"/>
      <c r="C32" s="14"/>
      <c r="D32" s="33"/>
      <c r="E32" s="98"/>
      <c r="F32" s="43" t="str">
        <f>IFERROR(VLOOKUP(E32,Lookup!$A$30:$C$41,3)*D32*C32,"")</f>
        <v/>
      </c>
      <c r="G32" s="14"/>
      <c r="H32" s="43" t="str">
        <f t="shared" ref="H32:H40" si="2">IFERROR(G32*F32,"")</f>
        <v/>
      </c>
      <c r="I32" s="14"/>
      <c r="J32" s="14"/>
      <c r="K32" s="14"/>
      <c r="L32" s="43" t="str">
        <f t="shared" ref="L32:L40" si="3">IF((K32*J32)=0,"",K32*J32)</f>
        <v/>
      </c>
      <c r="M32" s="363"/>
      <c r="N32" s="97"/>
      <c r="O32" s="43" t="str">
        <f>IFERROR(VLOOKUP(M32,Lookup!$H$48:$K$61,MATCH(N32,Lookup!$I$48:$K$48,0)+1,0),"")</f>
        <v/>
      </c>
      <c r="P32" s="15"/>
      <c r="Q32" s="43" t="str">
        <f t="shared" ref="Q32:Q39" si="4">IFERROR(ROUND(IF(RIGHT(M32,6)="(gptm)",I32*IF(P32=0,O32,P32)*L32,L32/IF(P32=0,O32,P32)),1),"")</f>
        <v/>
      </c>
      <c r="R32" s="625"/>
      <c r="S32" s="625"/>
      <c r="T32" s="625"/>
      <c r="U32" s="625"/>
      <c r="V32" s="626"/>
      <c r="W32" s="255"/>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row>
    <row r="33" spans="1:51" x14ac:dyDescent="0.25">
      <c r="A33" s="598"/>
      <c r="B33" s="599"/>
      <c r="C33" s="14"/>
      <c r="D33" s="33"/>
      <c r="E33" s="98"/>
      <c r="F33" s="43" t="str">
        <f>IFERROR(VLOOKUP(E33,Lookup!$A$30:$C$41,3)*D33*C33,"")</f>
        <v/>
      </c>
      <c r="G33" s="14"/>
      <c r="H33" s="43" t="str">
        <f t="shared" si="2"/>
        <v/>
      </c>
      <c r="I33" s="14"/>
      <c r="J33" s="14"/>
      <c r="K33" s="14"/>
      <c r="L33" s="43" t="str">
        <f t="shared" si="3"/>
        <v/>
      </c>
      <c r="M33" s="363"/>
      <c r="N33" s="97"/>
      <c r="O33" s="43" t="str">
        <f>IFERROR(VLOOKUP(M33,Lookup!$H$48:$K$61,MATCH(N33,Lookup!$I$48:$K$48,0)+1,0),"")</f>
        <v/>
      </c>
      <c r="P33" s="15"/>
      <c r="Q33" s="43" t="str">
        <f t="shared" si="4"/>
        <v/>
      </c>
      <c r="R33" s="625"/>
      <c r="S33" s="625"/>
      <c r="T33" s="625"/>
      <c r="U33" s="625"/>
      <c r="V33" s="626"/>
      <c r="W33" s="255"/>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row>
    <row r="34" spans="1:51" x14ac:dyDescent="0.25">
      <c r="A34" s="598"/>
      <c r="B34" s="599"/>
      <c r="C34" s="14"/>
      <c r="D34" s="33"/>
      <c r="E34" s="98"/>
      <c r="F34" s="43" t="str">
        <f>IFERROR(VLOOKUP(E34,Lookup!$A$30:$C$41,3)*D34*C34,"")</f>
        <v/>
      </c>
      <c r="G34" s="14"/>
      <c r="H34" s="43" t="str">
        <f t="shared" si="2"/>
        <v/>
      </c>
      <c r="I34" s="14"/>
      <c r="J34" s="14"/>
      <c r="K34" s="14"/>
      <c r="L34" s="43" t="str">
        <f t="shared" si="3"/>
        <v/>
      </c>
      <c r="M34" s="363"/>
      <c r="N34" s="97"/>
      <c r="O34" s="43" t="str">
        <f>IFERROR(VLOOKUP(M34,Lookup!$H$48:$K$61,MATCH(N34,Lookup!$I$48:$K$48,0)+1,0),"")</f>
        <v/>
      </c>
      <c r="P34" s="15"/>
      <c r="Q34" s="43" t="str">
        <f t="shared" si="4"/>
        <v/>
      </c>
      <c r="R34" s="625"/>
      <c r="S34" s="625"/>
      <c r="T34" s="625"/>
      <c r="U34" s="625"/>
      <c r="V34" s="626"/>
      <c r="W34" s="255"/>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row>
    <row r="35" spans="1:51" x14ac:dyDescent="0.25">
      <c r="A35" s="598"/>
      <c r="B35" s="599"/>
      <c r="C35" s="14"/>
      <c r="D35" s="33"/>
      <c r="E35" s="98"/>
      <c r="F35" s="43" t="str">
        <f>IFERROR(VLOOKUP(E35,Lookup!$A$30:$C$41,3)*D35*C35,"")</f>
        <v/>
      </c>
      <c r="G35" s="14"/>
      <c r="H35" s="43" t="str">
        <f t="shared" si="2"/>
        <v/>
      </c>
      <c r="I35" s="14"/>
      <c r="J35" s="14"/>
      <c r="K35" s="14"/>
      <c r="L35" s="43" t="str">
        <f t="shared" si="3"/>
        <v/>
      </c>
      <c r="M35" s="363"/>
      <c r="N35" s="97"/>
      <c r="O35" s="43" t="str">
        <f>IFERROR(VLOOKUP(M35,Lookup!$H$48:$K$61,MATCH(N35,Lookup!$I$48:$K$48,0)+1,0),"")</f>
        <v/>
      </c>
      <c r="P35" s="15"/>
      <c r="Q35" s="43" t="str">
        <f t="shared" si="4"/>
        <v/>
      </c>
      <c r="R35" s="625"/>
      <c r="S35" s="625"/>
      <c r="T35" s="625"/>
      <c r="U35" s="625"/>
      <c r="V35" s="626"/>
      <c r="W35" s="255"/>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row>
    <row r="36" spans="1:51" x14ac:dyDescent="0.25">
      <c r="A36" s="598"/>
      <c r="B36" s="599"/>
      <c r="C36" s="14"/>
      <c r="D36" s="33"/>
      <c r="E36" s="98"/>
      <c r="F36" s="43" t="str">
        <f>IFERROR(VLOOKUP(E36,Lookup!$A$30:$C$41,3)*D36*C36,"")</f>
        <v/>
      </c>
      <c r="G36" s="14"/>
      <c r="H36" s="43" t="str">
        <f t="shared" si="2"/>
        <v/>
      </c>
      <c r="I36" s="14"/>
      <c r="J36" s="14"/>
      <c r="K36" s="14"/>
      <c r="L36" s="43" t="str">
        <f t="shared" si="3"/>
        <v/>
      </c>
      <c r="M36" s="363"/>
      <c r="N36" s="97"/>
      <c r="O36" s="43" t="str">
        <f>IFERROR(VLOOKUP(M36,Lookup!$H$48:$K$61,MATCH(N36,Lookup!$I$48:$K$48,0)+1,0),"")</f>
        <v/>
      </c>
      <c r="P36" s="15"/>
      <c r="Q36" s="43" t="str">
        <f t="shared" si="4"/>
        <v/>
      </c>
      <c r="R36" s="625"/>
      <c r="S36" s="625"/>
      <c r="T36" s="625"/>
      <c r="U36" s="625"/>
      <c r="V36" s="626"/>
      <c r="W36" s="255"/>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row>
    <row r="37" spans="1:51" x14ac:dyDescent="0.25">
      <c r="A37" s="598"/>
      <c r="B37" s="599"/>
      <c r="C37" s="14"/>
      <c r="D37" s="33"/>
      <c r="E37" s="98"/>
      <c r="F37" s="43" t="str">
        <f>IFERROR(VLOOKUP(E37,Lookup!$A$30:$C$41,3)*D37*C37,"")</f>
        <v/>
      </c>
      <c r="G37" s="14"/>
      <c r="H37" s="43" t="str">
        <f t="shared" si="2"/>
        <v/>
      </c>
      <c r="I37" s="14"/>
      <c r="J37" s="14"/>
      <c r="K37" s="14"/>
      <c r="L37" s="43" t="str">
        <f t="shared" si="3"/>
        <v/>
      </c>
      <c r="M37" s="363"/>
      <c r="N37" s="97"/>
      <c r="O37" s="43" t="str">
        <f>IFERROR(VLOOKUP(M37,Lookup!$H$48:$K$61,MATCH(N37,Lookup!$I$48:$K$48,0)+1,0),"")</f>
        <v/>
      </c>
      <c r="P37" s="15"/>
      <c r="Q37" s="43" t="str">
        <f t="shared" si="4"/>
        <v/>
      </c>
      <c r="R37" s="625"/>
      <c r="S37" s="625"/>
      <c r="T37" s="625"/>
      <c r="U37" s="625"/>
      <c r="V37" s="626"/>
      <c r="W37" s="255"/>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row>
    <row r="38" spans="1:51" x14ac:dyDescent="0.25">
      <c r="A38" s="598"/>
      <c r="B38" s="599"/>
      <c r="C38" s="14"/>
      <c r="D38" s="33"/>
      <c r="E38" s="98"/>
      <c r="F38" s="43" t="str">
        <f>IFERROR(VLOOKUP(E38,Lookup!$A$30:$C$41,3)*D38*C38,"")</f>
        <v/>
      </c>
      <c r="G38" s="14"/>
      <c r="H38" s="43" t="str">
        <f t="shared" si="2"/>
        <v/>
      </c>
      <c r="I38" s="14"/>
      <c r="J38" s="14"/>
      <c r="K38" s="14"/>
      <c r="L38" s="43" t="str">
        <f>IF((K38*J38)=0,"",K38*J38)</f>
        <v/>
      </c>
      <c r="M38" s="363"/>
      <c r="N38" s="97"/>
      <c r="O38" s="43" t="str">
        <f>IFERROR(VLOOKUP(M38,Lookup!$H$48:$K$61,MATCH(N38,Lookup!$I$48:$K$48,0)+1,0),"")</f>
        <v/>
      </c>
      <c r="P38" s="15"/>
      <c r="Q38" s="43" t="str">
        <f t="shared" si="4"/>
        <v/>
      </c>
      <c r="R38" s="625"/>
      <c r="S38" s="625"/>
      <c r="T38" s="625"/>
      <c r="U38" s="625"/>
      <c r="V38" s="626"/>
      <c r="W38" s="255"/>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row>
    <row r="39" spans="1:51" x14ac:dyDescent="0.25">
      <c r="A39" s="514"/>
      <c r="B39" s="516"/>
      <c r="C39" s="14"/>
      <c r="D39" s="33"/>
      <c r="E39" s="98"/>
      <c r="F39" s="43" t="str">
        <f>IFERROR(VLOOKUP(E39,Lookup!$A$30:$C$41,3)*D39*C39,"")</f>
        <v/>
      </c>
      <c r="G39" s="14"/>
      <c r="H39" s="43" t="str">
        <f>IFERROR(G39*F39,"")</f>
        <v/>
      </c>
      <c r="I39" s="14"/>
      <c r="J39" s="14"/>
      <c r="K39" s="14"/>
      <c r="L39" s="43" t="str">
        <f t="shared" si="3"/>
        <v/>
      </c>
      <c r="M39" s="438"/>
      <c r="N39" s="97"/>
      <c r="O39" s="15"/>
      <c r="P39" s="15"/>
      <c r="Q39" s="43" t="str">
        <f t="shared" si="4"/>
        <v/>
      </c>
      <c r="R39" s="625"/>
      <c r="S39" s="625"/>
      <c r="T39" s="625"/>
      <c r="U39" s="625"/>
      <c r="V39" s="626"/>
      <c r="W39" s="255"/>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row>
    <row r="40" spans="1:51" x14ac:dyDescent="0.25">
      <c r="A40" s="514"/>
      <c r="B40" s="516"/>
      <c r="C40" s="14"/>
      <c r="D40" s="33"/>
      <c r="E40" s="98"/>
      <c r="F40" s="43" t="str">
        <f>IFERROR(VLOOKUP(E40,Lookup!$A$30:$C$41,3)*D40*C40,"")</f>
        <v/>
      </c>
      <c r="G40" s="14"/>
      <c r="H40" s="43" t="str">
        <f t="shared" si="2"/>
        <v/>
      </c>
      <c r="I40" s="14"/>
      <c r="J40" s="14"/>
      <c r="K40" s="14"/>
      <c r="L40" s="43" t="str">
        <f t="shared" si="3"/>
        <v/>
      </c>
      <c r="M40" s="438"/>
      <c r="N40" s="97"/>
      <c r="O40" s="15"/>
      <c r="P40" s="15"/>
      <c r="Q40" s="43" t="str">
        <f>IFERROR(ROUND(IF(RIGHT(M40,6)="(gptm)",I40*IF(P40=0,O40,P40)*L40,L40/IF(P40=0,O40,P40)),1),"")</f>
        <v/>
      </c>
      <c r="R40" s="625"/>
      <c r="S40" s="625"/>
      <c r="T40" s="625"/>
      <c r="U40" s="625"/>
      <c r="V40" s="626"/>
      <c r="W40" s="255"/>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row>
    <row r="41" spans="1:51" ht="14.45" customHeight="1" x14ac:dyDescent="0.25">
      <c r="A41" s="555" t="s">
        <v>534</v>
      </c>
      <c r="B41" s="555"/>
      <c r="C41" s="555"/>
      <c r="D41" s="555"/>
      <c r="E41" s="439"/>
      <c r="F41" s="555" t="s">
        <v>851</v>
      </c>
      <c r="G41" s="555"/>
      <c r="H41" s="555"/>
      <c r="I41" s="555"/>
      <c r="J41" s="555"/>
      <c r="K41" s="555"/>
      <c r="L41" s="555"/>
      <c r="M41" s="555"/>
      <c r="N41" s="555"/>
      <c r="O41" s="555"/>
      <c r="P41" s="318"/>
      <c r="Q41" s="600" t="s">
        <v>852</v>
      </c>
      <c r="R41" s="600"/>
      <c r="S41" s="600"/>
      <c r="T41" s="600"/>
      <c r="U41" s="600"/>
      <c r="V41" s="600"/>
      <c r="W41" s="34"/>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row>
    <row r="42" spans="1:51" ht="14.45" customHeight="1" x14ac:dyDescent="0.25">
      <c r="A42" s="556"/>
      <c r="B42" s="556"/>
      <c r="C42" s="556"/>
      <c r="D42" s="556"/>
      <c r="E42" s="323"/>
      <c r="F42" s="556"/>
      <c r="G42" s="556"/>
      <c r="H42" s="556"/>
      <c r="I42" s="556"/>
      <c r="J42" s="556"/>
      <c r="K42" s="556"/>
      <c r="L42" s="556"/>
      <c r="M42" s="556"/>
      <c r="N42" s="556"/>
      <c r="O42" s="556"/>
      <c r="P42" s="318"/>
      <c r="Q42" s="601"/>
      <c r="R42" s="601"/>
      <c r="S42" s="601"/>
      <c r="T42" s="601"/>
      <c r="U42" s="601"/>
      <c r="V42" s="601"/>
      <c r="W42" s="34"/>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row>
    <row r="43" spans="1:51" ht="14.45" customHeight="1" x14ac:dyDescent="0.25">
      <c r="A43" s="439"/>
      <c r="B43" s="439"/>
      <c r="C43" s="439"/>
      <c r="D43" s="439"/>
      <c r="E43" s="439"/>
      <c r="F43" s="439"/>
      <c r="G43" s="297"/>
      <c r="H43" s="318"/>
      <c r="I43" s="318"/>
      <c r="J43" s="318"/>
      <c r="K43" s="318"/>
      <c r="L43" s="318"/>
      <c r="M43" s="318"/>
      <c r="N43" s="318"/>
      <c r="O43" s="318"/>
      <c r="P43" s="318"/>
      <c r="Q43" s="601"/>
      <c r="R43" s="601"/>
      <c r="S43" s="601"/>
      <c r="T43" s="601"/>
      <c r="U43" s="601"/>
      <c r="V43" s="601"/>
      <c r="W43" s="34"/>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row>
    <row r="44" spans="1:51" ht="14.45" customHeight="1" x14ac:dyDescent="0.25">
      <c r="A44" s="439"/>
      <c r="B44" s="439"/>
      <c r="C44" s="439"/>
      <c r="D44" s="439"/>
      <c r="E44" s="439"/>
      <c r="F44" s="439"/>
      <c r="G44" s="297"/>
      <c r="H44" s="318"/>
      <c r="I44" s="318"/>
      <c r="J44" s="318"/>
      <c r="K44" s="318"/>
      <c r="L44" s="318"/>
      <c r="M44" s="318"/>
      <c r="N44" s="318"/>
      <c r="O44" s="318"/>
      <c r="P44" s="318"/>
      <c r="Q44" s="601"/>
      <c r="R44" s="601"/>
      <c r="S44" s="601"/>
      <c r="T44" s="601"/>
      <c r="U44" s="601"/>
      <c r="V44" s="601"/>
      <c r="W44" s="34"/>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row>
    <row r="45" spans="1:51" ht="14.45" customHeight="1" x14ac:dyDescent="0.25">
      <c r="A45" s="439"/>
      <c r="B45" s="439"/>
      <c r="C45" s="439"/>
      <c r="D45" s="439"/>
      <c r="E45" s="439"/>
      <c r="F45" s="439"/>
      <c r="G45" s="297"/>
      <c r="H45" s="318"/>
      <c r="I45" s="318"/>
      <c r="J45" s="318"/>
      <c r="K45" s="318"/>
      <c r="L45" s="318"/>
      <c r="M45" s="318"/>
      <c r="N45" s="318"/>
      <c r="O45" s="318"/>
      <c r="P45" s="318"/>
      <c r="Q45" s="601"/>
      <c r="R45" s="601"/>
      <c r="S45" s="601"/>
      <c r="T45" s="601"/>
      <c r="U45" s="601"/>
      <c r="V45" s="601"/>
      <c r="W45" s="34"/>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row>
    <row r="46" spans="1:51" ht="14.45" customHeight="1" x14ac:dyDescent="0.25">
      <c r="A46" s="439"/>
      <c r="B46" s="439"/>
      <c r="C46" s="439"/>
      <c r="D46" s="439"/>
      <c r="E46" s="439"/>
      <c r="F46" s="439"/>
      <c r="G46" s="297"/>
      <c r="H46" s="318"/>
      <c r="I46" s="318"/>
      <c r="J46" s="318"/>
      <c r="K46" s="318"/>
      <c r="L46" s="318"/>
      <c r="M46" s="318"/>
      <c r="N46" s="318"/>
      <c r="O46" s="318"/>
      <c r="P46" s="318"/>
      <c r="Q46" s="318"/>
      <c r="R46" s="318"/>
      <c r="S46" s="318"/>
      <c r="T46" s="318"/>
      <c r="U46" s="318"/>
      <c r="V46" s="318"/>
      <c r="W46" s="34"/>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row>
    <row r="47" spans="1:51" ht="14.45" customHeight="1" x14ac:dyDescent="0.25">
      <c r="A47" s="439"/>
      <c r="B47" s="439"/>
      <c r="C47" s="439"/>
      <c r="D47" s="439"/>
      <c r="E47" s="439"/>
      <c r="F47" s="439"/>
      <c r="G47" s="297"/>
      <c r="H47" s="318"/>
      <c r="I47" s="318"/>
      <c r="J47" s="318"/>
      <c r="K47" s="318"/>
      <c r="L47" s="318"/>
      <c r="M47" s="318"/>
      <c r="N47" s="318"/>
      <c r="O47" s="318"/>
      <c r="P47" s="318"/>
      <c r="Q47" s="318"/>
      <c r="R47" s="318"/>
      <c r="S47" s="318"/>
      <c r="T47" s="318"/>
      <c r="U47" s="318"/>
      <c r="V47" s="318"/>
      <c r="W47" s="34"/>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row>
    <row r="48" spans="1:51" ht="14.45" customHeight="1" x14ac:dyDescent="0.25">
      <c r="A48" s="323"/>
      <c r="B48" s="323"/>
      <c r="C48" s="323"/>
      <c r="D48" s="323"/>
      <c r="E48" s="323"/>
      <c r="F48" s="323"/>
      <c r="G48" s="293"/>
      <c r="H48" s="319"/>
      <c r="I48" s="319"/>
      <c r="J48" s="319"/>
      <c r="K48" s="319"/>
      <c r="L48" s="319"/>
      <c r="M48" s="319"/>
      <c r="N48" s="319"/>
      <c r="O48" s="319"/>
      <c r="P48" s="319"/>
      <c r="Q48" s="319"/>
      <c r="R48" s="319"/>
      <c r="S48" s="319"/>
      <c r="T48" s="319"/>
      <c r="U48" s="319"/>
      <c r="V48" s="319"/>
      <c r="W48" s="34"/>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row>
    <row r="49" spans="1:51" ht="30" customHeight="1" x14ac:dyDescent="0.25">
      <c r="A49" s="253" t="s">
        <v>348</v>
      </c>
      <c r="B49" s="551" t="str">
        <f>E4</f>
        <v>Component 1</v>
      </c>
      <c r="C49" s="551"/>
      <c r="D49" s="552" t="str">
        <f ca="1">G4</f>
        <v>Define Component</v>
      </c>
      <c r="E49" s="553"/>
      <c r="F49" s="553"/>
      <c r="G49" s="554"/>
      <c r="H49" s="319"/>
      <c r="I49" s="319"/>
      <c r="J49" s="319"/>
      <c r="K49" s="319"/>
      <c r="L49" s="319"/>
      <c r="M49" s="319"/>
      <c r="N49" s="319"/>
      <c r="O49" s="319"/>
      <c r="P49" s="319"/>
      <c r="Q49" s="319"/>
      <c r="R49" s="319"/>
      <c r="S49" s="319"/>
      <c r="T49" s="319"/>
      <c r="U49" s="319"/>
      <c r="V49" s="319"/>
      <c r="W49" s="34"/>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row>
    <row r="50" spans="1:51" x14ac:dyDescent="0.25">
      <c r="A50" s="323"/>
      <c r="B50" s="323"/>
      <c r="C50" s="323"/>
      <c r="D50" s="323"/>
      <c r="E50" s="323"/>
      <c r="F50" s="323"/>
      <c r="G50" s="293"/>
      <c r="H50" s="319"/>
      <c r="I50" s="319"/>
      <c r="J50" s="319"/>
      <c r="K50" s="319"/>
      <c r="L50" s="319"/>
      <c r="M50" s="319"/>
      <c r="N50" s="319"/>
      <c r="O50" s="319"/>
      <c r="P50" s="319"/>
      <c r="Q50" s="319"/>
      <c r="R50" s="319"/>
      <c r="S50" s="319"/>
      <c r="T50" s="319"/>
      <c r="U50" s="319"/>
      <c r="W50" s="34"/>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row>
    <row r="51" spans="1:51" x14ac:dyDescent="0.25">
      <c r="A51" s="42" t="s">
        <v>104</v>
      </c>
      <c r="B51" s="44"/>
      <c r="C51" s="44"/>
      <c r="D51" s="44"/>
      <c r="H51" s="7"/>
      <c r="I51" s="7"/>
      <c r="J51" s="7"/>
      <c r="K51" s="7"/>
      <c r="L51" s="581" t="s">
        <v>105</v>
      </c>
      <c r="M51" s="581"/>
      <c r="N51" s="7"/>
      <c r="O51" s="7"/>
      <c r="P51" s="7"/>
      <c r="Q51" s="7"/>
      <c r="R51" s="7"/>
      <c r="S51" s="7"/>
      <c r="T51" s="7"/>
      <c r="U51" s="27"/>
      <c r="V51" s="260"/>
      <c r="W51" s="34"/>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row>
    <row r="52" spans="1:51" ht="45" x14ac:dyDescent="0.25">
      <c r="A52" s="101" t="s">
        <v>18</v>
      </c>
      <c r="B52" s="101" t="s">
        <v>10</v>
      </c>
      <c r="C52" s="101" t="s">
        <v>462</v>
      </c>
      <c r="D52" s="101" t="s">
        <v>148</v>
      </c>
      <c r="E52" s="101" t="s">
        <v>20</v>
      </c>
      <c r="F52" s="101" t="s">
        <v>21</v>
      </c>
      <c r="G52" s="101" t="s">
        <v>27</v>
      </c>
      <c r="H52" s="568" t="s">
        <v>16</v>
      </c>
      <c r="I52" s="568"/>
      <c r="J52" s="568"/>
      <c r="K52" s="34"/>
      <c r="L52" s="531" t="s">
        <v>18</v>
      </c>
      <c r="M52" s="533"/>
      <c r="N52" s="101" t="s">
        <v>355</v>
      </c>
      <c r="O52" s="101" t="s">
        <v>299</v>
      </c>
      <c r="P52" s="101" t="s">
        <v>21</v>
      </c>
      <c r="Q52" s="101" t="s">
        <v>356</v>
      </c>
      <c r="R52" s="101" t="s">
        <v>357</v>
      </c>
      <c r="S52" s="568" t="s">
        <v>16</v>
      </c>
      <c r="T52" s="568"/>
      <c r="U52" s="568"/>
      <c r="V52" s="568"/>
      <c r="W52" s="34"/>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row>
    <row r="53" spans="1:51" x14ac:dyDescent="0.25">
      <c r="A53" s="336" t="s">
        <v>241</v>
      </c>
      <c r="B53" s="15"/>
      <c r="C53" s="16"/>
      <c r="D53" s="16"/>
      <c r="E53" s="41" t="str">
        <f>IFERROR(B53*C53/D53*0.746,"")</f>
        <v/>
      </c>
      <c r="F53" s="15"/>
      <c r="G53" s="41" t="str">
        <f>IFERROR(F53*E53,"")</f>
        <v/>
      </c>
      <c r="H53" s="580"/>
      <c r="I53" s="580"/>
      <c r="J53" s="580"/>
      <c r="K53" s="34"/>
      <c r="L53" s="504"/>
      <c r="M53" s="506"/>
      <c r="N53" s="15"/>
      <c r="O53" s="16"/>
      <c r="P53" s="15"/>
      <c r="Q53" s="41" t="str">
        <f t="shared" ref="Q53:Q54" si="5">IFERROR(N53/O53*P53,"")</f>
        <v/>
      </c>
      <c r="R53" s="41" t="str">
        <f t="shared" ref="R53:R55" si="6">IFERROR(Q53/103000,"")</f>
        <v/>
      </c>
      <c r="S53" s="602"/>
      <c r="T53" s="602"/>
      <c r="U53" s="602"/>
      <c r="V53" s="602"/>
      <c r="W53" s="34"/>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row>
    <row r="54" spans="1:51" x14ac:dyDescent="0.25">
      <c r="A54" s="336" t="s">
        <v>241</v>
      </c>
      <c r="B54" s="15"/>
      <c r="C54" s="16"/>
      <c r="D54" s="16"/>
      <c r="E54" s="41" t="str">
        <f t="shared" ref="E54:E56" si="7">IFERROR(B54*C54/D54*0.746,"")</f>
        <v/>
      </c>
      <c r="F54" s="15"/>
      <c r="G54" s="41" t="str">
        <f t="shared" ref="G54:G56" si="8">IFERROR(F54*E54,"")</f>
        <v/>
      </c>
      <c r="H54" s="580"/>
      <c r="I54" s="580"/>
      <c r="J54" s="580"/>
      <c r="K54" s="34"/>
      <c r="L54" s="504"/>
      <c r="M54" s="506"/>
      <c r="N54" s="15"/>
      <c r="O54" s="16"/>
      <c r="P54" s="15"/>
      <c r="Q54" s="41" t="str">
        <f t="shared" si="5"/>
        <v/>
      </c>
      <c r="R54" s="41" t="str">
        <f t="shared" si="6"/>
        <v/>
      </c>
      <c r="S54" s="602"/>
      <c r="T54" s="602"/>
      <c r="U54" s="602"/>
      <c r="V54" s="602"/>
      <c r="W54" s="34"/>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row>
    <row r="55" spans="1:51" x14ac:dyDescent="0.25">
      <c r="A55" s="336" t="s">
        <v>241</v>
      </c>
      <c r="B55" s="15"/>
      <c r="C55" s="16"/>
      <c r="D55" s="16"/>
      <c r="E55" s="41" t="str">
        <f t="shared" si="7"/>
        <v/>
      </c>
      <c r="F55" s="15"/>
      <c r="G55" s="41" t="str">
        <f t="shared" si="8"/>
        <v/>
      </c>
      <c r="H55" s="580"/>
      <c r="I55" s="580"/>
      <c r="J55" s="580"/>
      <c r="K55" s="34"/>
      <c r="L55" s="504"/>
      <c r="M55" s="506"/>
      <c r="N55" s="158"/>
      <c r="O55" s="295"/>
      <c r="P55" s="158"/>
      <c r="Q55" s="15"/>
      <c r="R55" s="41">
        <f t="shared" si="6"/>
        <v>0</v>
      </c>
      <c r="S55" s="602"/>
      <c r="T55" s="602"/>
      <c r="U55" s="602"/>
      <c r="V55" s="602"/>
      <c r="W55" s="34"/>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row>
    <row r="56" spans="1:51" x14ac:dyDescent="0.25">
      <c r="A56" s="336" t="s">
        <v>241</v>
      </c>
      <c r="B56" s="15"/>
      <c r="C56" s="16"/>
      <c r="D56" s="16"/>
      <c r="E56" s="41" t="str">
        <f t="shared" si="7"/>
        <v/>
      </c>
      <c r="F56" s="15"/>
      <c r="G56" s="41" t="str">
        <f t="shared" si="8"/>
        <v/>
      </c>
      <c r="H56" s="580"/>
      <c r="I56" s="580"/>
      <c r="J56" s="580"/>
      <c r="K56" s="34"/>
      <c r="L56" s="504"/>
      <c r="M56" s="506"/>
      <c r="N56" s="158"/>
      <c r="O56" s="295"/>
      <c r="P56" s="158"/>
      <c r="Q56" s="41">
        <f>IFERROR(R56*103000,"")</f>
        <v>0</v>
      </c>
      <c r="R56" s="15"/>
      <c r="S56" s="602"/>
      <c r="T56" s="602"/>
      <c r="U56" s="602"/>
      <c r="V56" s="602"/>
      <c r="W56" s="34"/>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row>
    <row r="57" spans="1:51" x14ac:dyDescent="0.25">
      <c r="A57" s="336" t="s">
        <v>243</v>
      </c>
      <c r="B57" s="158"/>
      <c r="C57" s="158"/>
      <c r="D57" s="158"/>
      <c r="E57" s="15"/>
      <c r="F57" s="15"/>
      <c r="G57" s="41" t="str">
        <f>IF((F57*E57)=0,"",F57*E57)</f>
        <v/>
      </c>
      <c r="H57" s="580"/>
      <c r="I57" s="580"/>
      <c r="J57" s="580"/>
      <c r="K57" s="34"/>
      <c r="L57" s="631" t="s">
        <v>13</v>
      </c>
      <c r="M57" s="631"/>
      <c r="N57" s="631"/>
      <c r="O57" s="631"/>
      <c r="P57" s="41">
        <f>SUM(P53:P56)</f>
        <v>0</v>
      </c>
      <c r="Q57" s="41">
        <f>SUM(Q53:Q56)</f>
        <v>0</v>
      </c>
      <c r="R57" s="41">
        <f>SUM(R53:R56)</f>
        <v>0</v>
      </c>
      <c r="S57" s="602"/>
      <c r="T57" s="602"/>
      <c r="U57" s="602"/>
      <c r="V57" s="602"/>
      <c r="W57" s="34"/>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row>
    <row r="58" spans="1:51" x14ac:dyDescent="0.25">
      <c r="A58" s="336" t="s">
        <v>243</v>
      </c>
      <c r="B58" s="158"/>
      <c r="C58" s="158"/>
      <c r="D58" s="158"/>
      <c r="E58" s="15"/>
      <c r="F58" s="15"/>
      <c r="G58" s="41" t="str">
        <f>IF((F58*E58)=0,"",F58*E58)</f>
        <v/>
      </c>
      <c r="H58" s="580"/>
      <c r="I58" s="580"/>
      <c r="J58" s="580"/>
      <c r="K58" s="34"/>
      <c r="L58" s="296"/>
      <c r="M58" s="296"/>
      <c r="N58" s="296"/>
      <c r="O58" s="296"/>
      <c r="P58" s="296"/>
      <c r="Q58" s="296"/>
      <c r="R58" s="296"/>
      <c r="S58" s="296"/>
      <c r="T58" s="296"/>
      <c r="U58" s="296"/>
      <c r="V58" s="296"/>
      <c r="W58" s="34"/>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row>
    <row r="59" spans="1:51" x14ac:dyDescent="0.25">
      <c r="A59" s="336" t="s">
        <v>243</v>
      </c>
      <c r="B59" s="158"/>
      <c r="C59" s="158"/>
      <c r="D59" s="158"/>
      <c r="E59" s="15"/>
      <c r="F59" s="15"/>
      <c r="G59" s="41" t="str">
        <f>IF((F59*E59)=0,"",F59*E59)</f>
        <v/>
      </c>
      <c r="H59" s="580"/>
      <c r="I59" s="580"/>
      <c r="J59" s="580"/>
      <c r="K59" s="34"/>
      <c r="L59" s="7"/>
      <c r="M59" s="297"/>
      <c r="N59" s="297"/>
      <c r="O59" s="297"/>
      <c r="P59" s="297"/>
      <c r="Q59" s="297"/>
      <c r="R59" s="7"/>
      <c r="S59" s="7"/>
      <c r="T59" s="7"/>
      <c r="U59" s="297"/>
      <c r="V59" s="297"/>
      <c r="W59" s="34"/>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row>
    <row r="60" spans="1:51" x14ac:dyDescent="0.25">
      <c r="A60" s="336" t="s">
        <v>243</v>
      </c>
      <c r="B60" s="158"/>
      <c r="C60" s="158"/>
      <c r="D60" s="158"/>
      <c r="E60" s="15"/>
      <c r="F60" s="15"/>
      <c r="G60" s="41" t="str">
        <f>IF((F60*E60)=0,"",F60*E60)</f>
        <v/>
      </c>
      <c r="H60" s="580"/>
      <c r="I60" s="580"/>
      <c r="J60" s="580"/>
      <c r="K60" s="34"/>
      <c r="L60" s="7"/>
      <c r="M60" s="7"/>
      <c r="N60" s="7"/>
      <c r="O60" s="7"/>
      <c r="P60" s="7"/>
      <c r="Q60" s="7"/>
      <c r="R60" s="7"/>
      <c r="S60" s="7"/>
      <c r="T60" s="7"/>
      <c r="U60" s="7"/>
      <c r="V60" s="7"/>
      <c r="W60" s="34"/>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row>
    <row r="61" spans="1:51" ht="15" customHeight="1" x14ac:dyDescent="0.25">
      <c r="A61" s="336" t="s">
        <v>242</v>
      </c>
      <c r="B61" s="159"/>
      <c r="C61" s="159"/>
      <c r="D61" s="159"/>
      <c r="E61" s="159"/>
      <c r="F61" s="159"/>
      <c r="G61" s="15"/>
      <c r="H61" s="580"/>
      <c r="I61" s="580"/>
      <c r="J61" s="580"/>
      <c r="K61" s="34"/>
      <c r="L61" s="581" t="s">
        <v>446</v>
      </c>
      <c r="M61" s="581"/>
      <c r="N61" s="581"/>
      <c r="O61" s="321"/>
      <c r="P61" s="321"/>
      <c r="Q61" s="321"/>
      <c r="R61" s="321"/>
      <c r="S61" s="321"/>
      <c r="T61" s="321"/>
      <c r="U61" s="321"/>
      <c r="V61" s="7"/>
      <c r="W61" s="34"/>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row>
    <row r="62" spans="1:51" ht="14.45" customHeight="1" x14ac:dyDescent="0.25">
      <c r="A62" s="336" t="s">
        <v>242</v>
      </c>
      <c r="B62" s="159"/>
      <c r="C62" s="159"/>
      <c r="D62" s="159"/>
      <c r="E62" s="159"/>
      <c r="F62" s="159"/>
      <c r="G62" s="15"/>
      <c r="H62" s="580"/>
      <c r="I62" s="580"/>
      <c r="J62" s="580"/>
      <c r="K62" s="34"/>
      <c r="L62" s="582" t="s">
        <v>18</v>
      </c>
      <c r="M62" s="583"/>
      <c r="N62" s="586" t="s">
        <v>100</v>
      </c>
      <c r="O62" s="586" t="s">
        <v>358</v>
      </c>
      <c r="P62" s="586" t="s">
        <v>668</v>
      </c>
      <c r="Q62" s="623" t="s">
        <v>101</v>
      </c>
      <c r="R62" s="543"/>
      <c r="S62" s="542" t="s">
        <v>16</v>
      </c>
      <c r="T62" s="623"/>
      <c r="U62" s="623"/>
      <c r="V62" s="543"/>
      <c r="W62" s="34"/>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row>
    <row r="63" spans="1:51" x14ac:dyDescent="0.25">
      <c r="A63" s="336" t="s">
        <v>242</v>
      </c>
      <c r="B63" s="159"/>
      <c r="C63" s="159"/>
      <c r="D63" s="159"/>
      <c r="E63" s="159"/>
      <c r="F63" s="159"/>
      <c r="G63" s="15"/>
      <c r="H63" s="580"/>
      <c r="I63" s="580"/>
      <c r="J63" s="580"/>
      <c r="K63" s="34"/>
      <c r="L63" s="584"/>
      <c r="M63" s="585"/>
      <c r="N63" s="587"/>
      <c r="O63" s="587"/>
      <c r="P63" s="587"/>
      <c r="Q63" s="624"/>
      <c r="R63" s="547"/>
      <c r="S63" s="546"/>
      <c r="T63" s="624"/>
      <c r="U63" s="624"/>
      <c r="V63" s="547"/>
      <c r="W63" s="34"/>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row>
    <row r="64" spans="1:51" ht="14.45" customHeight="1" x14ac:dyDescent="0.25">
      <c r="A64" s="336" t="s">
        <v>242</v>
      </c>
      <c r="B64" s="159"/>
      <c r="C64" s="159"/>
      <c r="D64" s="159"/>
      <c r="E64" s="159"/>
      <c r="F64" s="159"/>
      <c r="G64" s="14"/>
      <c r="H64" s="593"/>
      <c r="I64" s="593"/>
      <c r="J64" s="593"/>
      <c r="K64" s="34"/>
      <c r="L64" s="504"/>
      <c r="M64" s="506"/>
      <c r="N64" s="15"/>
      <c r="O64" s="16"/>
      <c r="P64" s="160"/>
      <c r="Q64" s="595">
        <f>N64*O64</f>
        <v>0</v>
      </c>
      <c r="R64" s="596"/>
      <c r="S64" s="594"/>
      <c r="T64" s="594"/>
      <c r="U64" s="594"/>
      <c r="V64" s="538"/>
      <c r="W64" s="34"/>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row>
    <row r="65" spans="1:51" ht="15" customHeight="1" x14ac:dyDescent="0.25">
      <c r="A65" s="577" t="s">
        <v>261</v>
      </c>
      <c r="B65" s="578"/>
      <c r="C65" s="578"/>
      <c r="D65" s="578"/>
      <c r="E65" s="578"/>
      <c r="F65" s="579"/>
      <c r="G65" s="41">
        <f>SUM(G53:G64)</f>
        <v>0</v>
      </c>
      <c r="H65" s="593"/>
      <c r="I65" s="593"/>
      <c r="J65" s="593"/>
      <c r="K65" s="256"/>
      <c r="L65" s="504"/>
      <c r="M65" s="506"/>
      <c r="N65" s="15"/>
      <c r="O65" s="16"/>
      <c r="P65" s="160"/>
      <c r="Q65" s="595">
        <f>N65*O65</f>
        <v>0</v>
      </c>
      <c r="R65" s="596"/>
      <c r="S65" s="537"/>
      <c r="T65" s="594"/>
      <c r="U65" s="594"/>
      <c r="V65" s="538"/>
      <c r="W65" s="34"/>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row>
    <row r="66" spans="1:51" x14ac:dyDescent="0.25">
      <c r="A66" s="577" t="s">
        <v>103</v>
      </c>
      <c r="B66" s="578"/>
      <c r="C66" s="578"/>
      <c r="D66" s="578"/>
      <c r="E66" s="578"/>
      <c r="F66" s="579"/>
      <c r="G66" s="14"/>
      <c r="H66" s="569"/>
      <c r="I66" s="570"/>
      <c r="J66" s="571"/>
      <c r="K66" s="34"/>
      <c r="L66" s="504"/>
      <c r="M66" s="506"/>
      <c r="N66" s="15"/>
      <c r="O66" s="16"/>
      <c r="P66" s="160"/>
      <c r="Q66" s="595">
        <f>N66*O66</f>
        <v>0</v>
      </c>
      <c r="R66" s="596"/>
      <c r="S66" s="537"/>
      <c r="T66" s="594"/>
      <c r="U66" s="594"/>
      <c r="V66" s="538"/>
      <c r="W66" s="34"/>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row>
    <row r="67" spans="1:51" ht="15" customHeight="1" x14ac:dyDescent="0.25">
      <c r="A67" s="577" t="s">
        <v>721</v>
      </c>
      <c r="B67" s="578"/>
      <c r="C67" s="578"/>
      <c r="D67" s="578"/>
      <c r="E67" s="578"/>
      <c r="F67" s="579"/>
      <c r="G67" s="41">
        <f>IFERROR(SUMIF(G16:G26,"=electricity",K16:K26),"")</f>
        <v>0</v>
      </c>
      <c r="H67" s="569"/>
      <c r="I67" s="570"/>
      <c r="J67" s="571"/>
      <c r="K67" s="341"/>
      <c r="L67" s="597" t="s">
        <v>0</v>
      </c>
      <c r="M67" s="590"/>
      <c r="N67" s="590"/>
      <c r="O67" s="590"/>
      <c r="P67" s="591"/>
      <c r="Q67" s="595">
        <f>SUMIF(P64:P66,"=no",Q64:R66)</f>
        <v>0</v>
      </c>
      <c r="R67" s="596"/>
      <c r="S67" s="537"/>
      <c r="T67" s="594"/>
      <c r="U67" s="594"/>
      <c r="V67" s="538"/>
      <c r="W67" s="341"/>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row>
    <row r="68" spans="1:51" ht="15" customHeight="1" x14ac:dyDescent="0.25">
      <c r="A68" s="588" t="str">
        <f>IF('Grid Electricity'!B19=1,"","Enter Local Grid Mix in Grid Electricity Tab")</f>
        <v/>
      </c>
      <c r="B68" s="589"/>
      <c r="C68" s="589"/>
      <c r="D68" s="589"/>
      <c r="E68" s="590" t="s">
        <v>102</v>
      </c>
      <c r="F68" s="591"/>
      <c r="G68" s="156">
        <f>(G65-G66)+G67</f>
        <v>0</v>
      </c>
      <c r="H68" s="592"/>
      <c r="I68" s="592"/>
      <c r="J68" s="592"/>
      <c r="K68" s="254"/>
      <c r="L68" s="556" t="s">
        <v>535</v>
      </c>
      <c r="M68" s="556"/>
      <c r="N68" s="556"/>
      <c r="O68" s="556"/>
      <c r="P68" s="556"/>
      <c r="Q68" s="556"/>
      <c r="R68" s="556"/>
      <c r="S68" s="556"/>
      <c r="T68" s="556"/>
      <c r="U68" s="254"/>
      <c r="V68" s="254"/>
      <c r="W68" s="254"/>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15" customHeight="1" x14ac:dyDescent="0.25">
      <c r="A69" s="7"/>
      <c r="B69" s="294"/>
      <c r="C69" s="565" t="s">
        <v>354</v>
      </c>
      <c r="D69" s="565"/>
      <c r="E69" s="565"/>
      <c r="F69" s="565"/>
      <c r="G69" s="565"/>
      <c r="H69" s="565"/>
      <c r="I69" s="565"/>
      <c r="J69" s="565"/>
      <c r="K69" s="255"/>
      <c r="L69" s="556"/>
      <c r="M69" s="556"/>
      <c r="N69" s="556"/>
      <c r="O69" s="556"/>
      <c r="P69" s="556"/>
      <c r="Q69" s="556"/>
      <c r="R69" s="556"/>
      <c r="S69" s="556"/>
      <c r="T69" s="556"/>
      <c r="U69" s="254"/>
      <c r="V69" s="254"/>
      <c r="W69" s="254"/>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row>
    <row r="70" spans="1:51" ht="15" customHeight="1" x14ac:dyDescent="0.25">
      <c r="A70" s="293"/>
      <c r="B70" s="293"/>
      <c r="C70" s="567"/>
      <c r="D70" s="567"/>
      <c r="E70" s="567"/>
      <c r="F70" s="567"/>
      <c r="G70" s="567"/>
      <c r="H70" s="567"/>
      <c r="I70" s="567"/>
      <c r="J70" s="567"/>
      <c r="K70" s="255"/>
      <c r="L70" s="255"/>
      <c r="M70" s="255"/>
      <c r="N70" s="255"/>
      <c r="O70" s="255"/>
      <c r="P70" s="254"/>
      <c r="Q70" s="254"/>
      <c r="R70" s="254"/>
      <c r="S70" s="254"/>
      <c r="T70" s="254"/>
      <c r="U70" s="254"/>
      <c r="V70" s="254"/>
      <c r="W70" s="254"/>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row>
    <row r="71" spans="1:51" ht="15" customHeight="1" x14ac:dyDescent="0.25">
      <c r="A71" s="23"/>
      <c r="B71" s="7"/>
      <c r="C71" s="7"/>
      <c r="D71" s="7"/>
      <c r="E71" s="7"/>
      <c r="F71" s="7"/>
      <c r="G71" s="7"/>
      <c r="H71" s="7"/>
      <c r="I71" s="7"/>
      <c r="J71" s="7"/>
      <c r="K71" s="31"/>
      <c r="L71" s="31"/>
      <c r="M71" s="31"/>
      <c r="N71" s="31"/>
      <c r="O71" s="31"/>
      <c r="P71" s="31"/>
      <c r="Q71" s="31"/>
      <c r="R71" s="31"/>
      <c r="S71" s="31"/>
      <c r="T71" s="31"/>
      <c r="U71" s="31"/>
      <c r="V71" s="31"/>
      <c r="W71" s="31"/>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15.6" customHeight="1" x14ac:dyDescent="0.25">
      <c r="A72" s="10" t="s">
        <v>193</v>
      </c>
      <c r="D72" s="45"/>
      <c r="E72" s="45"/>
      <c r="F72" s="45"/>
      <c r="G72" s="45"/>
      <c r="H72" s="45"/>
      <c r="I72" s="45"/>
      <c r="J72" s="45"/>
      <c r="K72" s="45"/>
      <c r="L72" s="45"/>
      <c r="M72" s="45"/>
      <c r="N72" s="46"/>
      <c r="O72" s="46"/>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row>
    <row r="73" spans="1:51" ht="75" x14ac:dyDescent="0.25">
      <c r="A73" s="531" t="s">
        <v>362</v>
      </c>
      <c r="B73" s="533"/>
      <c r="C73" s="101" t="s">
        <v>6</v>
      </c>
      <c r="D73" s="47" t="s">
        <v>2</v>
      </c>
      <c r="E73" s="124" t="s">
        <v>94</v>
      </c>
      <c r="F73" s="101" t="s">
        <v>519</v>
      </c>
      <c r="G73" s="101" t="s">
        <v>520</v>
      </c>
      <c r="H73" s="101" t="s">
        <v>521</v>
      </c>
      <c r="I73" s="101" t="s">
        <v>530</v>
      </c>
      <c r="J73" s="101" t="s">
        <v>447</v>
      </c>
      <c r="K73" s="101" t="s">
        <v>182</v>
      </c>
      <c r="L73" s="433" t="s">
        <v>727</v>
      </c>
      <c r="M73" s="101" t="s">
        <v>351</v>
      </c>
      <c r="N73" s="101" t="s">
        <v>522</v>
      </c>
      <c r="O73" s="353" t="s">
        <v>359</v>
      </c>
      <c r="P73" s="101" t="s">
        <v>848</v>
      </c>
      <c r="Q73" s="101" t="s">
        <v>849</v>
      </c>
      <c r="R73" s="101" t="s">
        <v>360</v>
      </c>
      <c r="S73" s="531" t="s">
        <v>361</v>
      </c>
      <c r="T73" s="532"/>
      <c r="U73" s="532"/>
      <c r="V73" s="533"/>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row>
    <row r="74" spans="1:51" ht="15" customHeight="1" x14ac:dyDescent="0.25">
      <c r="A74" s="572"/>
      <c r="B74" s="573"/>
      <c r="C74" s="48" t="str">
        <f>IFERROR(INDEX(Lookup!$A$49:$F$103,MATCH(A74,Lookup!$A$49:$A$103,0),4),"")</f>
        <v/>
      </c>
      <c r="D74" s="32"/>
      <c r="E74" s="41">
        <f>IFERROR(IF(ISBLANK(A74),D74,INDEX(Lookup!$A$49:$F$103,MATCH(A74,Lookup!$A$49:$A$103,0),5)*D74),"")</f>
        <v>0</v>
      </c>
      <c r="F74" s="160"/>
      <c r="G74" s="160"/>
      <c r="H74" s="160"/>
      <c r="I74" s="48" t="str">
        <f>IFERROR(INDEX(Lookup!$A$49:$F$103,MATCH(A74,Lookup!$A$49:$A$103,0),6),"")</f>
        <v/>
      </c>
      <c r="J74" s="17"/>
      <c r="K74" s="18"/>
      <c r="L74" s="354"/>
      <c r="M74" s="407" t="str">
        <f t="shared" ref="M74:M76" si="9">IFERROR(IF(L74="Yes",IF(K74=0,1/2,K74)*2*IF(J74=0,I74,J74),IF(K74=0,1,K74)*IF(J74=0,I74,J74)),"")</f>
        <v/>
      </c>
      <c r="N74" s="363"/>
      <c r="O74" s="97"/>
      <c r="P74" s="49" t="str">
        <f>IFERROR(VLOOKUP(N74,Lookup!$H$48:$K$61,MATCH(O74,Lookup!$I$48:$K$48,0)+1,0),"")</f>
        <v/>
      </c>
      <c r="Q74" s="15"/>
      <c r="R74" s="394" t="str">
        <f>IFERROR(ROUND(IF(RIGHT(N74,6)="(gptm)",E74*IF(Q74=0,P74,Q74)*IF(ISNUMBER(J74),J74,I74),M74/IF(Q74=0,P74,Q74)),3),"")</f>
        <v/>
      </c>
      <c r="S74" s="574"/>
      <c r="T74" s="575"/>
      <c r="U74" s="575"/>
      <c r="V74" s="576"/>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row>
    <row r="75" spans="1:51" x14ac:dyDescent="0.25">
      <c r="A75" s="572"/>
      <c r="B75" s="573"/>
      <c r="C75" s="48" t="str">
        <f>IFERROR(INDEX(Lookup!$A$49:$F$103,MATCH(A75,Lookup!$A$49:$A$103,0),4),"")</f>
        <v/>
      </c>
      <c r="D75" s="32"/>
      <c r="E75" s="41">
        <f>IFERROR(IF(ISBLANK(A75),D75,INDEX(Lookup!$A$49:$F$103,MATCH(A75,Lookup!$A$49:$A$103,0),5)*D75),"")</f>
        <v>0</v>
      </c>
      <c r="F75" s="160"/>
      <c r="G75" s="160"/>
      <c r="H75" s="160"/>
      <c r="I75" s="48" t="str">
        <f>IFERROR(INDEX(Lookup!$A$49:$F$103,MATCH(A75,Lookup!$A$49:$A$103,0),6),"")</f>
        <v/>
      </c>
      <c r="J75" s="17"/>
      <c r="K75" s="18"/>
      <c r="L75" s="354"/>
      <c r="M75" s="407" t="str">
        <f t="shared" si="9"/>
        <v/>
      </c>
      <c r="N75" s="363"/>
      <c r="O75" s="97"/>
      <c r="P75" s="49" t="str">
        <f>IFERROR(VLOOKUP(N75,Lookup!$H$48:$K$61,MATCH(O75,Lookup!$I$48:$K$48,0)+1,0),"")</f>
        <v/>
      </c>
      <c r="Q75" s="15"/>
      <c r="R75" s="394" t="str">
        <f t="shared" ref="R75:R91" si="10">IFERROR(ROUND(IF(RIGHT(N75,6)="(gptm)",E75*IF(Q75=0,P75,Q75)*IF(ISNUMBER(J75),J75,I75),M75/IF(Q75=0,P75,Q75)),3),"")</f>
        <v/>
      </c>
      <c r="S75" s="574"/>
      <c r="T75" s="575"/>
      <c r="U75" s="575"/>
      <c r="V75" s="576"/>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row>
    <row r="76" spans="1:51" x14ac:dyDescent="0.25">
      <c r="A76" s="572"/>
      <c r="B76" s="573"/>
      <c r="C76" s="48" t="str">
        <f>IFERROR(INDEX(Lookup!$A$49:$F$103,MATCH(A76,Lookup!$A$49:$A$103,0),4),"")</f>
        <v/>
      </c>
      <c r="D76" s="32"/>
      <c r="E76" s="41">
        <f>IFERROR(IF(ISBLANK(A76),D76,INDEX(Lookup!$A$49:$F$103,MATCH(A76,Lookup!$A$49:$A$103,0),5)*D76),"")</f>
        <v>0</v>
      </c>
      <c r="F76" s="160"/>
      <c r="G76" s="160"/>
      <c r="H76" s="160"/>
      <c r="I76" s="48" t="str">
        <f>IFERROR(INDEX(Lookup!$A$49:$F$103,MATCH(A76,Lookup!$A$49:$A$103,0),6),"")</f>
        <v/>
      </c>
      <c r="J76" s="17"/>
      <c r="K76" s="18"/>
      <c r="L76" s="354"/>
      <c r="M76" s="407" t="str">
        <f t="shared" si="9"/>
        <v/>
      </c>
      <c r="N76" s="363"/>
      <c r="O76" s="97"/>
      <c r="P76" s="49" t="str">
        <f>IFERROR(VLOOKUP(N76,Lookup!$H$48:$K$61,MATCH(O76,Lookup!$I$48:$K$48,0)+1,0),"")</f>
        <v/>
      </c>
      <c r="Q76" s="15"/>
      <c r="R76" s="394" t="str">
        <f t="shared" si="10"/>
        <v/>
      </c>
      <c r="S76" s="574"/>
      <c r="T76" s="575"/>
      <c r="U76" s="575"/>
      <c r="V76" s="576"/>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row>
    <row r="77" spans="1:51" x14ac:dyDescent="0.25">
      <c r="A77" s="572"/>
      <c r="B77" s="573"/>
      <c r="C77" s="48" t="str">
        <f>IFERROR(INDEX(Lookup!$A$49:$F$103,MATCH(A77,Lookup!$A$49:$A$103,0),4),"")</f>
        <v/>
      </c>
      <c r="D77" s="32"/>
      <c r="E77" s="41">
        <f>IFERROR(IF(ISBLANK(A77),D77,INDEX(Lookup!$A$49:$F$103,MATCH(A77,Lookup!$A$49:$A$103,0),5)*D77),"")</f>
        <v>0</v>
      </c>
      <c r="F77" s="160"/>
      <c r="G77" s="160"/>
      <c r="H77" s="160"/>
      <c r="I77" s="48" t="str">
        <f>IFERROR(INDEX(Lookup!$A$49:$F$103,MATCH(A77,Lookup!$A$49:$A$103,0),6),"")</f>
        <v/>
      </c>
      <c r="J77" s="17"/>
      <c r="K77" s="18"/>
      <c r="L77" s="354"/>
      <c r="M77" s="407" t="str">
        <f t="shared" ref="M77:M91" si="11">IFERROR(IF(L77="Yes",IF(K77=0,1/2,K77)*2*IF(J77=0,I77,J77),IF(K77=0,1,K77)*IF(J77=0,I77,J77)),"")</f>
        <v/>
      </c>
      <c r="N77" s="363"/>
      <c r="O77" s="97"/>
      <c r="P77" s="49" t="str">
        <f>IFERROR(VLOOKUP(N77,Lookup!$H$48:$K$61,MATCH(O77,Lookup!$I$48:$K$48,0)+1,0),"")</f>
        <v/>
      </c>
      <c r="Q77" s="15"/>
      <c r="R77" s="394" t="str">
        <f t="shared" si="10"/>
        <v/>
      </c>
      <c r="S77" s="574"/>
      <c r="T77" s="575"/>
      <c r="U77" s="575"/>
      <c r="V77" s="576"/>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row>
    <row r="78" spans="1:51" x14ac:dyDescent="0.25">
      <c r="A78" s="572"/>
      <c r="B78" s="573"/>
      <c r="C78" s="48" t="str">
        <f>IFERROR(INDEX(Lookup!$A$49:$F$103,MATCH(A78,Lookup!$A$49:$A$103,0),4),"")</f>
        <v/>
      </c>
      <c r="D78" s="32"/>
      <c r="E78" s="41">
        <f>IFERROR(IF(ISBLANK(A78),D78,INDEX(Lookup!$A$49:$F$103,MATCH(A78,Lookup!$A$49:$A$103,0),5)*D78),"")</f>
        <v>0</v>
      </c>
      <c r="F78" s="160"/>
      <c r="G78" s="160"/>
      <c r="H78" s="160"/>
      <c r="I78" s="48" t="str">
        <f>IFERROR(INDEX(Lookup!$A$49:$F$103,MATCH(A78,Lookup!$A$49:$A$103,0),6),"")</f>
        <v/>
      </c>
      <c r="J78" s="17"/>
      <c r="K78" s="18"/>
      <c r="L78" s="354"/>
      <c r="M78" s="407" t="str">
        <f t="shared" si="11"/>
        <v/>
      </c>
      <c r="N78" s="363"/>
      <c r="O78" s="97"/>
      <c r="P78" s="49" t="str">
        <f>IFERROR(VLOOKUP(N78,Lookup!$H$48:$K$61,MATCH(O78,Lookup!$I$48:$K$48,0)+1,0),"")</f>
        <v/>
      </c>
      <c r="Q78" s="15"/>
      <c r="R78" s="394" t="str">
        <f t="shared" si="10"/>
        <v/>
      </c>
      <c r="S78" s="574"/>
      <c r="T78" s="575"/>
      <c r="U78" s="575"/>
      <c r="V78" s="576"/>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row>
    <row r="79" spans="1:51" x14ac:dyDescent="0.25">
      <c r="A79" s="572"/>
      <c r="B79" s="573"/>
      <c r="C79" s="48" t="str">
        <f>IFERROR(INDEX(Lookup!$A$49:$F$103,MATCH(A79,Lookup!$A$49:$A$103,0),4),"")</f>
        <v/>
      </c>
      <c r="D79" s="32"/>
      <c r="E79" s="41">
        <f>IFERROR(IF(ISBLANK(A79),D79,INDEX(Lookup!$A$49:$F$103,MATCH(A79,Lookup!$A$49:$A$103,0),5)*D79),"")</f>
        <v>0</v>
      </c>
      <c r="F79" s="160"/>
      <c r="G79" s="160"/>
      <c r="H79" s="160"/>
      <c r="I79" s="48" t="str">
        <f>IFERROR(INDEX(Lookup!$A$49:$F$103,MATCH(A79,Lookup!$A$49:$A$103,0),6),"")</f>
        <v/>
      </c>
      <c r="J79" s="17"/>
      <c r="K79" s="18"/>
      <c r="L79" s="354"/>
      <c r="M79" s="407" t="str">
        <f t="shared" si="11"/>
        <v/>
      </c>
      <c r="N79" s="363"/>
      <c r="O79" s="97"/>
      <c r="P79" s="49" t="str">
        <f>IFERROR(VLOOKUP(N79,Lookup!$H$48:$K$61,MATCH(O79,Lookup!$I$48:$K$48,0)+1,0),"")</f>
        <v/>
      </c>
      <c r="Q79" s="15"/>
      <c r="R79" s="394" t="str">
        <f t="shared" si="10"/>
        <v/>
      </c>
      <c r="S79" s="574"/>
      <c r="T79" s="575"/>
      <c r="U79" s="575"/>
      <c r="V79" s="576"/>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row>
    <row r="80" spans="1:51" x14ac:dyDescent="0.25">
      <c r="A80" s="572"/>
      <c r="B80" s="573"/>
      <c r="C80" s="48" t="str">
        <f>IFERROR(INDEX(Lookup!$A$49:$F$103,MATCH(A80,Lookup!$A$49:$A$103,0),4),"")</f>
        <v/>
      </c>
      <c r="D80" s="32"/>
      <c r="E80" s="41">
        <f>IFERROR(IF(ISBLANK(A80),D80,INDEX(Lookup!$A$49:$F$103,MATCH(A80,Lookup!$A$49:$A$103,0),5)*D80),"")</f>
        <v>0</v>
      </c>
      <c r="F80" s="160"/>
      <c r="G80" s="160"/>
      <c r="H80" s="160"/>
      <c r="I80" s="48" t="str">
        <f>IFERROR(INDEX(Lookup!$A$49:$F$103,MATCH(A80,Lookup!$A$49:$A$103,0),6),"")</f>
        <v/>
      </c>
      <c r="J80" s="17"/>
      <c r="K80" s="18"/>
      <c r="L80" s="354"/>
      <c r="M80" s="407" t="str">
        <f t="shared" si="11"/>
        <v/>
      </c>
      <c r="N80" s="363"/>
      <c r="O80" s="97"/>
      <c r="P80" s="49" t="str">
        <f>IFERROR(VLOOKUP(N80,Lookup!$H$48:$K$61,MATCH(O80,Lookup!$I$48:$K$48,0)+1,0),"")</f>
        <v/>
      </c>
      <c r="Q80" s="15"/>
      <c r="R80" s="394" t="str">
        <f t="shared" si="10"/>
        <v/>
      </c>
      <c r="S80" s="574"/>
      <c r="T80" s="575"/>
      <c r="U80" s="575"/>
      <c r="V80" s="576"/>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row>
    <row r="81" spans="1:51" x14ac:dyDescent="0.25">
      <c r="A81" s="572"/>
      <c r="B81" s="573"/>
      <c r="C81" s="48" t="str">
        <f>IFERROR(INDEX(Lookup!$A$49:$F$103,MATCH(A81,Lookup!$A$49:$A$103,0),4),"")</f>
        <v/>
      </c>
      <c r="D81" s="32"/>
      <c r="E81" s="41">
        <f>IFERROR(IF(ISBLANK(A81),D81,INDEX(Lookup!$A$49:$F$103,MATCH(A81,Lookup!$A$49:$A$103,0),5)*D81),"")</f>
        <v>0</v>
      </c>
      <c r="F81" s="160"/>
      <c r="G81" s="160"/>
      <c r="H81" s="160"/>
      <c r="I81" s="48" t="str">
        <f>IFERROR(INDEX(Lookup!$A$49:$F$103,MATCH(A81,Lookup!$A$49:$A$103,0),6),"")</f>
        <v/>
      </c>
      <c r="J81" s="17"/>
      <c r="K81" s="18"/>
      <c r="L81" s="354"/>
      <c r="M81" s="407" t="str">
        <f t="shared" si="11"/>
        <v/>
      </c>
      <c r="N81" s="363"/>
      <c r="O81" s="97"/>
      <c r="P81" s="49" t="str">
        <f>IFERROR(VLOOKUP(N81,Lookup!$H$48:$K$61,MATCH(O81,Lookup!$I$48:$K$48,0)+1,0),"")</f>
        <v/>
      </c>
      <c r="Q81" s="15"/>
      <c r="R81" s="394" t="str">
        <f t="shared" si="10"/>
        <v/>
      </c>
      <c r="S81" s="574"/>
      <c r="T81" s="575"/>
      <c r="U81" s="575"/>
      <c r="V81" s="576"/>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row>
    <row r="82" spans="1:51" x14ac:dyDescent="0.25">
      <c r="A82" s="572"/>
      <c r="B82" s="573"/>
      <c r="C82" s="48" t="str">
        <f>IFERROR(INDEX(Lookup!$A$49:$F$103,MATCH(A82,Lookup!$A$49:$A$103,0),4),"")</f>
        <v/>
      </c>
      <c r="D82" s="32"/>
      <c r="E82" s="41">
        <f>IFERROR(IF(ISBLANK(A82),D82,INDEX(Lookup!$A$49:$F$103,MATCH(A82,Lookup!$A$49:$A$103,0),5)*D82),"")</f>
        <v>0</v>
      </c>
      <c r="F82" s="160"/>
      <c r="G82" s="160"/>
      <c r="H82" s="160"/>
      <c r="I82" s="48" t="str">
        <f>IFERROR(INDEX(Lookup!$A$49:$F$103,MATCH(A82,Lookup!$A$49:$A$103,0),6),"")</f>
        <v/>
      </c>
      <c r="J82" s="17"/>
      <c r="K82" s="18"/>
      <c r="L82" s="354"/>
      <c r="M82" s="407" t="str">
        <f t="shared" si="11"/>
        <v/>
      </c>
      <c r="N82" s="363"/>
      <c r="O82" s="97"/>
      <c r="P82" s="49" t="str">
        <f>IFERROR(VLOOKUP(N82,Lookup!$H$48:$K$61,MATCH(O82,Lookup!$I$48:$K$48,0)+1,0),"")</f>
        <v/>
      </c>
      <c r="Q82" s="15"/>
      <c r="R82" s="394" t="str">
        <f t="shared" si="10"/>
        <v/>
      </c>
      <c r="S82" s="574"/>
      <c r="T82" s="575"/>
      <c r="U82" s="575"/>
      <c r="V82" s="576"/>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row>
    <row r="83" spans="1:51" x14ac:dyDescent="0.25">
      <c r="A83" s="572"/>
      <c r="B83" s="573"/>
      <c r="C83" s="48" t="str">
        <f>IFERROR(INDEX(Lookup!$A$49:$F$103,MATCH(A83,Lookup!$A$49:$A$103,0),4),"")</f>
        <v/>
      </c>
      <c r="D83" s="32"/>
      <c r="E83" s="41">
        <f>IFERROR(IF(ISBLANK(A83),D83,INDEX(Lookup!$A$49:$F$103,MATCH(A83,Lookup!$A$49:$A$103,0),5)*D83),"")</f>
        <v>0</v>
      </c>
      <c r="F83" s="160"/>
      <c r="G83" s="160"/>
      <c r="H83" s="160"/>
      <c r="I83" s="48" t="str">
        <f>IFERROR(INDEX(Lookup!$A$49:$F$103,MATCH(A83,Lookup!$A$49:$A$103,0),6),"")</f>
        <v/>
      </c>
      <c r="J83" s="17"/>
      <c r="K83" s="18"/>
      <c r="L83" s="354"/>
      <c r="M83" s="407" t="str">
        <f t="shared" si="11"/>
        <v/>
      </c>
      <c r="N83" s="363"/>
      <c r="O83" s="97"/>
      <c r="P83" s="49" t="str">
        <f>IFERROR(VLOOKUP(N83,Lookup!$H$48:$K$61,MATCH(O83,Lookup!$I$48:$K$48,0)+1,0),"")</f>
        <v/>
      </c>
      <c r="Q83" s="15"/>
      <c r="R83" s="394" t="str">
        <f t="shared" si="10"/>
        <v/>
      </c>
      <c r="S83" s="574"/>
      <c r="T83" s="575"/>
      <c r="U83" s="575"/>
      <c r="V83" s="576"/>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row>
    <row r="84" spans="1:51" ht="15" customHeight="1" x14ac:dyDescent="0.25">
      <c r="A84" s="572"/>
      <c r="B84" s="573"/>
      <c r="C84" s="48" t="str">
        <f>IFERROR(INDEX(Lookup!$A$49:$F$103,MATCH(A84,Lookup!$A$49:$A$103,0),4),"")</f>
        <v/>
      </c>
      <c r="D84" s="32"/>
      <c r="E84" s="41">
        <f>IFERROR(IF(ISBLANK(A84),D84,INDEX(Lookup!$A$49:$F$103,MATCH(A84,Lookup!$A$49:$A$103,0),5)*D84),"")</f>
        <v>0</v>
      </c>
      <c r="F84" s="160"/>
      <c r="G84" s="160"/>
      <c r="H84" s="160"/>
      <c r="I84" s="48" t="str">
        <f>IFERROR(INDEX(Lookup!$A$49:$F$103,MATCH(A84,Lookup!$A$49:$A$103,0),6),"")</f>
        <v/>
      </c>
      <c r="J84" s="17"/>
      <c r="K84" s="18"/>
      <c r="L84" s="354"/>
      <c r="M84" s="407" t="str">
        <f t="shared" si="11"/>
        <v/>
      </c>
      <c r="N84" s="363"/>
      <c r="O84" s="97"/>
      <c r="P84" s="49" t="str">
        <f>IFERROR(VLOOKUP(N84,Lookup!$H$48:$K$61,MATCH(O84,Lookup!$I$48:$K$48,0)+1,0),"")</f>
        <v/>
      </c>
      <c r="Q84" s="15"/>
      <c r="R84" s="394" t="str">
        <f t="shared" si="10"/>
        <v/>
      </c>
      <c r="S84" s="574"/>
      <c r="T84" s="575"/>
      <c r="U84" s="575"/>
      <c r="V84" s="576"/>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row>
    <row r="85" spans="1:51" ht="15" customHeight="1" x14ac:dyDescent="0.25">
      <c r="A85" s="572"/>
      <c r="B85" s="573"/>
      <c r="C85" s="48" t="str">
        <f>IFERROR(INDEX(Lookup!$A$49:$F$103,MATCH(A85,Lookup!$A$49:$A$103,0),4),"")</f>
        <v/>
      </c>
      <c r="D85" s="32"/>
      <c r="E85" s="41">
        <f>IFERROR(IF(ISBLANK(A85),D85,INDEX(Lookup!$A$49:$F$103,MATCH(A85,Lookup!$A$49:$A$103,0),5)*D85),"")</f>
        <v>0</v>
      </c>
      <c r="F85" s="160"/>
      <c r="G85" s="160"/>
      <c r="H85" s="160"/>
      <c r="I85" s="48" t="str">
        <f>IFERROR(INDEX(Lookup!$A$49:$F$103,MATCH(A85,Lookup!$A$49:$A$103,0),6),"")</f>
        <v/>
      </c>
      <c r="J85" s="17"/>
      <c r="K85" s="18"/>
      <c r="L85" s="354"/>
      <c r="M85" s="407" t="str">
        <f t="shared" si="11"/>
        <v/>
      </c>
      <c r="N85" s="363"/>
      <c r="O85" s="97"/>
      <c r="P85" s="49" t="str">
        <f>IFERROR(VLOOKUP(N85,Lookup!$H$48:$K$61,MATCH(O85,Lookup!$I$48:$K$48,0)+1,0),"")</f>
        <v/>
      </c>
      <c r="Q85" s="15"/>
      <c r="R85" s="394" t="str">
        <f t="shared" si="10"/>
        <v/>
      </c>
      <c r="S85" s="574"/>
      <c r="T85" s="575"/>
      <c r="U85" s="575"/>
      <c r="V85" s="576"/>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row>
    <row r="86" spans="1:51" x14ac:dyDescent="0.25">
      <c r="A86" s="572"/>
      <c r="B86" s="573"/>
      <c r="C86" s="48" t="str">
        <f>IFERROR(INDEX(Lookup!$A$49:$F$103,MATCH(A86,Lookup!$A$49:$A$103,0),4),"")</f>
        <v/>
      </c>
      <c r="D86" s="32"/>
      <c r="E86" s="41">
        <f>IFERROR(IF(ISBLANK(A86),D86,INDEX(Lookup!$A$49:$F$103,MATCH(A86,Lookup!$A$49:$A$103,0),5)*D86),"")</f>
        <v>0</v>
      </c>
      <c r="F86" s="160"/>
      <c r="G86" s="160"/>
      <c r="H86" s="160"/>
      <c r="I86" s="48" t="str">
        <f>IFERROR(INDEX(Lookup!$A$49:$F$103,MATCH(A86,Lookup!$A$49:$A$103,0),6),"")</f>
        <v/>
      </c>
      <c r="J86" s="17"/>
      <c r="K86" s="18"/>
      <c r="L86" s="354"/>
      <c r="M86" s="407" t="str">
        <f t="shared" si="11"/>
        <v/>
      </c>
      <c r="N86" s="363"/>
      <c r="O86" s="97"/>
      <c r="P86" s="49" t="str">
        <f>IFERROR(VLOOKUP(N86,Lookup!$H$48:$K$61,MATCH(O86,Lookup!$I$48:$K$48,0)+1,0),"")</f>
        <v/>
      </c>
      <c r="Q86" s="15"/>
      <c r="R86" s="394" t="str">
        <f t="shared" si="10"/>
        <v/>
      </c>
      <c r="S86" s="574"/>
      <c r="T86" s="575"/>
      <c r="U86" s="575"/>
      <c r="V86" s="576"/>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row>
    <row r="87" spans="1:51" x14ac:dyDescent="0.25">
      <c r="A87" s="572"/>
      <c r="B87" s="573"/>
      <c r="C87" s="48" t="str">
        <f>IFERROR(INDEX(Lookup!$A$49:$F$103,MATCH(A87,Lookup!$A$49:$A$103,0),4),"")</f>
        <v/>
      </c>
      <c r="D87" s="32"/>
      <c r="E87" s="41">
        <f>IFERROR(IF(ISBLANK(A87),D87,INDEX(Lookup!$A$49:$F$103,MATCH(A87,Lookup!$A$49:$A$103,0),5)*D87),"")</f>
        <v>0</v>
      </c>
      <c r="F87" s="160"/>
      <c r="G87" s="160"/>
      <c r="H87" s="160"/>
      <c r="I87" s="48" t="str">
        <f>IFERROR(INDEX(Lookup!$A$49:$F$103,MATCH(A87,Lookup!$A$49:$A$103,0),6),"")</f>
        <v/>
      </c>
      <c r="J87" s="17"/>
      <c r="K87" s="18"/>
      <c r="L87" s="354"/>
      <c r="M87" s="407" t="str">
        <f t="shared" si="11"/>
        <v/>
      </c>
      <c r="N87" s="363"/>
      <c r="O87" s="97"/>
      <c r="P87" s="49" t="str">
        <f>IFERROR(VLOOKUP(N87,Lookup!$H$48:$K$61,MATCH(O87,Lookup!$I$48:$K$48,0)+1,0),"")</f>
        <v/>
      </c>
      <c r="Q87" s="15"/>
      <c r="R87" s="394" t="str">
        <f t="shared" si="10"/>
        <v/>
      </c>
      <c r="S87" s="574"/>
      <c r="T87" s="575"/>
      <c r="U87" s="575"/>
      <c r="V87" s="576"/>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row>
    <row r="88" spans="1:51" x14ac:dyDescent="0.25">
      <c r="A88" s="572"/>
      <c r="B88" s="573"/>
      <c r="C88" s="48" t="str">
        <f>IFERROR(INDEX(Lookup!$A$49:$F$103,MATCH(A88,Lookup!$A$49:$A$103,0),4),"")</f>
        <v/>
      </c>
      <c r="D88" s="32"/>
      <c r="E88" s="41">
        <f>IFERROR(IF(ISBLANK(A88),D88,INDEX(Lookup!$A$49:$F$103,MATCH(A88,Lookup!$A$49:$A$103,0),5)*D88),"")</f>
        <v>0</v>
      </c>
      <c r="F88" s="160"/>
      <c r="G88" s="160"/>
      <c r="H88" s="160"/>
      <c r="I88" s="48" t="str">
        <f>IFERROR(INDEX(Lookup!$A$49:$F$103,MATCH(A88,Lookup!$A$49:$A$103,0),6),"")</f>
        <v/>
      </c>
      <c r="J88" s="17"/>
      <c r="K88" s="18"/>
      <c r="L88" s="354"/>
      <c r="M88" s="407" t="str">
        <f t="shared" si="11"/>
        <v/>
      </c>
      <c r="N88" s="363"/>
      <c r="O88" s="97"/>
      <c r="P88" s="49" t="str">
        <f>IFERROR(VLOOKUP(N88,Lookup!$H$48:$K$61,MATCH(O88,Lookup!$I$48:$K$48,0)+1,0),"")</f>
        <v/>
      </c>
      <c r="Q88" s="15"/>
      <c r="R88" s="394" t="str">
        <f t="shared" si="10"/>
        <v/>
      </c>
      <c r="S88" s="574"/>
      <c r="T88" s="575"/>
      <c r="U88" s="575"/>
      <c r="V88" s="576"/>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row>
    <row r="89" spans="1:51" x14ac:dyDescent="0.25">
      <c r="A89" s="572"/>
      <c r="B89" s="573"/>
      <c r="C89" s="48" t="str">
        <f>IFERROR(INDEX(Lookup!$A$49:$F$103,MATCH(A89,Lookup!$A$49:$A$103,0),4),"")</f>
        <v/>
      </c>
      <c r="D89" s="32"/>
      <c r="E89" s="41">
        <f>IFERROR(IF(ISBLANK(A89),D89,INDEX(Lookup!$A$49:$F$103,MATCH(A89,Lookup!$A$49:$A$103,0),5)*D89),"")</f>
        <v>0</v>
      </c>
      <c r="F89" s="160"/>
      <c r="G89" s="160"/>
      <c r="H89" s="160"/>
      <c r="I89" s="48" t="str">
        <f>IFERROR(INDEX(Lookup!$A$49:$F$103,MATCH(A89,Lookup!$A$49:$A$103,0),6),"")</f>
        <v/>
      </c>
      <c r="J89" s="17"/>
      <c r="K89" s="18"/>
      <c r="L89" s="354"/>
      <c r="M89" s="407" t="str">
        <f t="shared" si="11"/>
        <v/>
      </c>
      <c r="N89" s="363"/>
      <c r="O89" s="97"/>
      <c r="P89" s="49" t="str">
        <f>IFERROR(VLOOKUP(N89,Lookup!$H$48:$K$61,MATCH(O89,Lookup!$I$48:$K$48,0)+1,0),"")</f>
        <v/>
      </c>
      <c r="Q89" s="15"/>
      <c r="R89" s="394" t="str">
        <f t="shared" si="10"/>
        <v/>
      </c>
      <c r="S89" s="574"/>
      <c r="T89" s="575"/>
      <c r="U89" s="575"/>
      <c r="V89" s="576"/>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row>
    <row r="90" spans="1:51" x14ac:dyDescent="0.25">
      <c r="A90" s="572"/>
      <c r="B90" s="573"/>
      <c r="C90" s="48" t="str">
        <f>IFERROR(INDEX(Lookup!$A$49:$F$103,MATCH(A90,Lookup!$A$49:$A$103,0),4),"")</f>
        <v/>
      </c>
      <c r="D90" s="32"/>
      <c r="E90" s="41">
        <f>IFERROR(IF(ISBLANK(A90),D90,INDEX(Lookup!$A$49:$F$103,MATCH(A90,Lookup!$A$49:$A$103,0),5)*D90),"")</f>
        <v>0</v>
      </c>
      <c r="F90" s="160"/>
      <c r="G90" s="160"/>
      <c r="H90" s="160"/>
      <c r="I90" s="48" t="str">
        <f>IFERROR(INDEX(Lookup!$A$49:$F$103,MATCH(A90,Lookup!$A$49:$A$103,0),6),"")</f>
        <v/>
      </c>
      <c r="J90" s="18"/>
      <c r="K90" s="18"/>
      <c r="L90" s="354"/>
      <c r="M90" s="407" t="str">
        <f t="shared" si="11"/>
        <v/>
      </c>
      <c r="N90" s="363"/>
      <c r="O90" s="97"/>
      <c r="P90" s="49" t="str">
        <f>IFERROR(VLOOKUP(N90,Lookup!$H$48:$K$61,MATCH(O90,Lookup!$I$48:$K$48,0)+1,0),"")</f>
        <v/>
      </c>
      <c r="Q90" s="15"/>
      <c r="R90" s="394" t="str">
        <f t="shared" si="10"/>
        <v/>
      </c>
      <c r="S90" s="574"/>
      <c r="T90" s="575"/>
      <c r="U90" s="575"/>
      <c r="V90" s="576"/>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row>
    <row r="91" spans="1:51" ht="15" customHeight="1" x14ac:dyDescent="0.25">
      <c r="A91" s="572"/>
      <c r="B91" s="573"/>
      <c r="C91" s="48" t="str">
        <f>IFERROR(INDEX(Lookup!$A$49:$F$103,MATCH(A91,Lookup!$A$49:$A$103,0),4),"")</f>
        <v/>
      </c>
      <c r="D91" s="32"/>
      <c r="E91" s="41">
        <f>IFERROR(IF(ISBLANK(A91),D91,INDEX(Lookup!$A$49:$F$103,MATCH(A91,Lookup!$A$49:$A$103,0),5)*D91),"")</f>
        <v>0</v>
      </c>
      <c r="F91" s="160"/>
      <c r="G91" s="160"/>
      <c r="H91" s="160"/>
      <c r="I91" s="48" t="str">
        <f>IFERROR(INDEX(Lookup!$A$49:$F$103,MATCH(A91,Lookup!$A$49:$A$103,0),6),"")</f>
        <v/>
      </c>
      <c r="J91" s="18"/>
      <c r="K91" s="18"/>
      <c r="L91" s="354"/>
      <c r="M91" s="407" t="str">
        <f t="shared" si="11"/>
        <v/>
      </c>
      <c r="N91" s="363"/>
      <c r="O91" s="97"/>
      <c r="P91" s="49" t="str">
        <f>IFERROR(VLOOKUP(N91,Lookup!$H$48:$K$61,MATCH(O91,Lookup!$I$48:$K$48,0)+1,0),"")</f>
        <v/>
      </c>
      <c r="Q91" s="15"/>
      <c r="R91" s="394" t="str">
        <f t="shared" si="10"/>
        <v/>
      </c>
      <c r="S91" s="574"/>
      <c r="T91" s="575"/>
      <c r="U91" s="575"/>
      <c r="V91" s="576"/>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row>
    <row r="92" spans="1:51" ht="15" customHeight="1" x14ac:dyDescent="0.25">
      <c r="A92" s="565" t="s">
        <v>518</v>
      </c>
      <c r="B92" s="565"/>
      <c r="C92" s="294"/>
      <c r="D92" s="294"/>
      <c r="E92" s="294"/>
      <c r="F92" s="565" t="s">
        <v>523</v>
      </c>
      <c r="G92" s="565"/>
      <c r="H92" s="565"/>
      <c r="I92" s="565"/>
      <c r="J92" s="565"/>
      <c r="K92" s="294"/>
      <c r="L92" s="565" t="s">
        <v>853</v>
      </c>
      <c r="M92" s="565"/>
      <c r="N92" s="565"/>
      <c r="O92" s="565"/>
      <c r="P92" s="565"/>
      <c r="Q92" s="565"/>
      <c r="R92" s="565"/>
      <c r="S92" s="565"/>
      <c r="T92" s="294"/>
      <c r="U92" s="294"/>
      <c r="V92" s="294"/>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row>
    <row r="93" spans="1:51" ht="14.45" customHeight="1" x14ac:dyDescent="0.25">
      <c r="A93" s="567"/>
      <c r="B93" s="567"/>
      <c r="C93" s="293"/>
      <c r="D93" s="293"/>
      <c r="E93" s="293"/>
      <c r="F93" s="567"/>
      <c r="G93" s="567"/>
      <c r="H93" s="567"/>
      <c r="I93" s="567"/>
      <c r="J93" s="567"/>
      <c r="K93" s="293"/>
      <c r="L93" s="567"/>
      <c r="M93" s="567"/>
      <c r="N93" s="567"/>
      <c r="O93" s="567"/>
      <c r="P93" s="567"/>
      <c r="Q93" s="567"/>
      <c r="R93" s="567"/>
      <c r="S93" s="567"/>
      <c r="T93" s="293"/>
      <c r="U93" s="293"/>
      <c r="V93" s="293"/>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row>
    <row r="94" spans="1:51" x14ac:dyDescent="0.25">
      <c r="A94" s="567"/>
      <c r="B94" s="567"/>
      <c r="C94" s="293"/>
      <c r="D94" s="293"/>
      <c r="E94" s="293"/>
      <c r="F94" s="567"/>
      <c r="G94" s="567"/>
      <c r="H94" s="567"/>
      <c r="I94" s="567"/>
      <c r="J94" s="567"/>
      <c r="K94" s="293"/>
      <c r="L94" s="567"/>
      <c r="M94" s="567"/>
      <c r="N94" s="567"/>
      <c r="O94" s="567"/>
      <c r="P94" s="567"/>
      <c r="Q94" s="567"/>
      <c r="R94" s="567"/>
      <c r="S94" s="567"/>
      <c r="T94" s="34"/>
      <c r="U94" s="255"/>
      <c r="V94" s="255"/>
      <c r="W94" s="34"/>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row>
    <row r="95" spans="1:51" ht="14.45" customHeight="1" x14ac:dyDescent="0.25">
      <c r="A95" s="7"/>
      <c r="B95" s="7"/>
      <c r="C95" s="7"/>
      <c r="D95" s="7"/>
      <c r="E95" s="7"/>
      <c r="F95" s="21"/>
      <c r="G95" s="21"/>
      <c r="H95" s="21"/>
      <c r="I95" s="7"/>
      <c r="J95" s="7"/>
      <c r="K95" s="7"/>
      <c r="L95" s="7"/>
      <c r="M95" s="7"/>
      <c r="N95" s="7"/>
      <c r="O95" s="7"/>
      <c r="P95" s="7"/>
      <c r="Q95" s="7"/>
      <c r="R95" s="7"/>
      <c r="S95" s="34"/>
      <c r="T95" s="34"/>
      <c r="U95" s="34"/>
      <c r="V95" s="34"/>
      <c r="W95" s="34"/>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row>
    <row r="96" spans="1:51" ht="14.45" customHeight="1" x14ac:dyDescent="0.25">
      <c r="A96" s="7"/>
      <c r="B96" s="7"/>
      <c r="C96" s="7"/>
      <c r="D96" s="7"/>
      <c r="E96" s="7"/>
      <c r="F96" s="21"/>
      <c r="G96" s="21"/>
      <c r="H96" s="21"/>
      <c r="I96" s="7"/>
      <c r="J96" s="7"/>
      <c r="K96" s="7"/>
      <c r="L96" s="7"/>
      <c r="M96" s="7"/>
      <c r="N96" s="7"/>
      <c r="O96" s="7"/>
      <c r="P96" s="7"/>
      <c r="Q96" s="7"/>
      <c r="R96" s="7"/>
      <c r="S96" s="34"/>
      <c r="T96" s="34"/>
      <c r="U96" s="34"/>
      <c r="V96" s="34"/>
      <c r="W96" s="34"/>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row>
    <row r="97" spans="1:51" ht="14.45" customHeight="1" x14ac:dyDescent="0.25">
      <c r="A97" s="7"/>
      <c r="B97" s="7"/>
      <c r="C97" s="7"/>
      <c r="D97" s="7"/>
      <c r="E97" s="7"/>
      <c r="F97" s="21"/>
      <c r="G97" s="21"/>
      <c r="H97" s="21"/>
      <c r="I97" s="7"/>
      <c r="J97" s="7"/>
      <c r="K97" s="7"/>
      <c r="L97" s="7"/>
      <c r="M97" s="7"/>
      <c r="N97" s="7"/>
      <c r="O97" s="7"/>
      <c r="P97" s="7"/>
      <c r="Q97" s="7"/>
      <c r="R97" s="7"/>
      <c r="S97" s="34"/>
      <c r="T97" s="34"/>
      <c r="U97" s="34"/>
      <c r="V97" s="34"/>
      <c r="W97" s="34"/>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row>
    <row r="98" spans="1:51" ht="14.45" customHeight="1" x14ac:dyDescent="0.25">
      <c r="A98" s="7"/>
      <c r="B98" s="7"/>
      <c r="C98" s="7"/>
      <c r="D98" s="7"/>
      <c r="E98" s="7"/>
      <c r="F98" s="21"/>
      <c r="G98" s="21"/>
      <c r="H98" s="21"/>
      <c r="I98" s="7"/>
      <c r="J98" s="7"/>
      <c r="K98" s="7"/>
      <c r="L98" s="7"/>
      <c r="M98" s="7"/>
      <c r="N98" s="7"/>
      <c r="O98" s="7"/>
      <c r="P98" s="7"/>
      <c r="Q98" s="7"/>
      <c r="R98" s="7"/>
      <c r="S98" s="34"/>
      <c r="T98" s="34"/>
      <c r="U98" s="34"/>
      <c r="V98" s="34"/>
      <c r="W98" s="34"/>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row>
    <row r="99" spans="1:51" ht="14.4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row>
    <row r="100" spans="1:51" ht="14.4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row>
    <row r="101" spans="1:51" ht="30" customHeight="1" x14ac:dyDescent="0.25">
      <c r="A101" s="253" t="s">
        <v>348</v>
      </c>
      <c r="B101" s="551" t="str">
        <f>E4</f>
        <v>Component 1</v>
      </c>
      <c r="C101" s="551"/>
      <c r="D101" s="552" t="str">
        <f ca="1">G4</f>
        <v>Define Component</v>
      </c>
      <c r="E101" s="553"/>
      <c r="F101" s="553"/>
      <c r="G101" s="554"/>
      <c r="H101" s="34"/>
      <c r="I101" s="34"/>
      <c r="J101" s="34"/>
      <c r="K101" s="34"/>
      <c r="L101" s="34"/>
      <c r="M101" s="34"/>
      <c r="N101" s="34"/>
      <c r="O101" s="34"/>
      <c r="P101" s="34"/>
      <c r="Q101" s="34"/>
      <c r="R101" s="34"/>
      <c r="S101" s="34"/>
      <c r="T101" s="34"/>
      <c r="U101" s="34"/>
      <c r="V101" s="34"/>
      <c r="W101" s="34"/>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row>
    <row r="102" spans="1:51" ht="14.4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row>
    <row r="103" spans="1:51" x14ac:dyDescent="0.25">
      <c r="A103" s="10" t="s">
        <v>271</v>
      </c>
      <c r="B103" s="34"/>
      <c r="C103" s="34"/>
      <c r="D103" s="34"/>
      <c r="E103" s="34"/>
      <c r="F103" s="34"/>
      <c r="G103" s="34"/>
      <c r="H103" s="34"/>
      <c r="I103" s="34"/>
      <c r="J103" s="34"/>
      <c r="K103" s="34"/>
      <c r="L103" s="34"/>
      <c r="M103" s="34"/>
      <c r="N103" s="34"/>
      <c r="O103" s="34"/>
      <c r="P103" s="34"/>
      <c r="Q103" s="34"/>
      <c r="R103" s="34"/>
      <c r="S103" s="34"/>
      <c r="T103" s="34"/>
      <c r="U103" s="34"/>
      <c r="V103" s="34"/>
      <c r="W103" s="34"/>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row>
    <row r="104" spans="1:51" ht="59.45" customHeight="1" x14ac:dyDescent="0.25">
      <c r="A104" s="531" t="s">
        <v>524</v>
      </c>
      <c r="B104" s="533"/>
      <c r="C104" s="101" t="s">
        <v>6</v>
      </c>
      <c r="D104" s="101" t="s">
        <v>2</v>
      </c>
      <c r="E104" s="124" t="s">
        <v>94</v>
      </c>
      <c r="F104" s="101" t="s">
        <v>530</v>
      </c>
      <c r="G104" s="101" t="s">
        <v>447</v>
      </c>
      <c r="H104" s="101" t="s">
        <v>182</v>
      </c>
      <c r="I104" s="433" t="s">
        <v>727</v>
      </c>
      <c r="J104" s="101" t="s">
        <v>351</v>
      </c>
      <c r="K104" s="101" t="s">
        <v>363</v>
      </c>
      <c r="L104" s="353" t="s">
        <v>359</v>
      </c>
      <c r="M104" s="101" t="s">
        <v>854</v>
      </c>
      <c r="N104" s="101" t="s">
        <v>855</v>
      </c>
      <c r="O104" s="101" t="s">
        <v>368</v>
      </c>
      <c r="P104" s="531" t="s">
        <v>227</v>
      </c>
      <c r="Q104" s="532"/>
      <c r="R104" s="532"/>
      <c r="S104" s="532"/>
      <c r="T104" s="532"/>
      <c r="U104" s="532"/>
      <c r="V104" s="533"/>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5">
      <c r="A105" s="557"/>
      <c r="B105" s="558"/>
      <c r="C105" s="48" t="str">
        <f>IFERROR(INDEX(Lookup!$H$71:$K$90,MATCH(A105,Lookup!$H$71:$H$90,0),2),"")</f>
        <v/>
      </c>
      <c r="D105" s="18"/>
      <c r="E105" s="41">
        <f>IFERROR(IF(ISBLANK(A105),D105,INDEX(Lookup!$H$71:$K$90,MATCH(A105,Lookup!$H$71:$H$90,0),3)*D105),"")</f>
        <v>0</v>
      </c>
      <c r="F105" s="41" t="str">
        <f>IFERROR(INDEX(Lookup!$H$71:$K$90,MATCH(A105,Lookup!$H$71:$H$90,0),4),"")</f>
        <v/>
      </c>
      <c r="G105" s="15"/>
      <c r="H105" s="17"/>
      <c r="I105" s="354"/>
      <c r="J105" s="43" t="str">
        <f>IFERROR(IF(I105="Yes",IF(H105=0,1/2,H105)*2*IF(G105=0,F105,G105),IF(H105=0,1,H105)*IF(G105=0,F105,G105)),"")</f>
        <v/>
      </c>
      <c r="K105" s="363"/>
      <c r="L105" s="97"/>
      <c r="M105" s="49" t="str">
        <f>IFERROR(VLOOKUP(K105,Lookup!$H$48:$K$61,MATCH(L105,Lookup!$I$48:$K$48,0)+1,0),"")</f>
        <v/>
      </c>
      <c r="N105" s="15"/>
      <c r="O105" s="228" t="str">
        <f>IFERROR(ROUND(IF(RIGHT(K105,6)="(gptm)",E105*IF(N105=0,M105,N105)*IF(ISNUMBER(G105),G105,F105),J105/IF(N105=0,M105,N105)),1),"")</f>
        <v/>
      </c>
      <c r="P105" s="569"/>
      <c r="Q105" s="570"/>
      <c r="R105" s="570"/>
      <c r="S105" s="570"/>
      <c r="T105" s="570"/>
      <c r="U105" s="570"/>
      <c r="V105" s="571"/>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row>
    <row r="106" spans="1:51" x14ac:dyDescent="0.25">
      <c r="A106" s="557"/>
      <c r="B106" s="558"/>
      <c r="C106" s="48" t="str">
        <f>IFERROR(INDEX(Lookup!$H$71:$K$90,MATCH(A106,Lookup!$H$71:$H$90,0),2),"")</f>
        <v/>
      </c>
      <c r="D106" s="18"/>
      <c r="E106" s="41">
        <f>IFERROR(IF(ISBLANK(A106),D106,INDEX(Lookup!$H$71:$K$90,MATCH(A106,Lookup!$H$71:$H$90,0),3)*D106),"")</f>
        <v>0</v>
      </c>
      <c r="F106" s="41" t="str">
        <f>IFERROR(INDEX(Lookup!$H$71:$K$90,MATCH(A106,Lookup!$H$71:$H$90,0),4),"")</f>
        <v/>
      </c>
      <c r="G106" s="15"/>
      <c r="H106" s="17"/>
      <c r="I106" s="354"/>
      <c r="J106" s="43" t="str">
        <f t="shared" ref="J106:J116" si="12">IFERROR(IF(I106="Yes",IF(H106=0,1/2,H106)*2*IF(G106=0,F106,G106),IF(H106=0,1,H106)*IF(G106=0,F106,G106)),"")</f>
        <v/>
      </c>
      <c r="K106" s="363"/>
      <c r="L106" s="97"/>
      <c r="M106" s="49" t="str">
        <f>IFERROR(VLOOKUP(K106,Lookup!$H$48:$K$61,MATCH(L106,Lookup!$I$48:$K$48,0)+1,0),"")</f>
        <v/>
      </c>
      <c r="N106" s="15"/>
      <c r="O106" s="228" t="str">
        <f t="shared" ref="O106:O116" si="13">IFERROR(ROUND(IF(RIGHT(K106,6)="(gptm)",E106*IF(N106=0,M106,N106)*IF(ISNUMBER(G106),G106,F106),J106/IF(N106=0,M106,N106)),1),"")</f>
        <v/>
      </c>
      <c r="P106" s="569"/>
      <c r="Q106" s="570"/>
      <c r="R106" s="570"/>
      <c r="S106" s="570"/>
      <c r="T106" s="570"/>
      <c r="U106" s="570"/>
      <c r="V106" s="571"/>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row>
    <row r="107" spans="1:51" x14ac:dyDescent="0.25">
      <c r="A107" s="557"/>
      <c r="B107" s="558"/>
      <c r="C107" s="48" t="str">
        <f>IFERROR(INDEX(Lookup!$H$71:$K$90,MATCH(A107,Lookup!$H$71:$H$90,0),2),"")</f>
        <v/>
      </c>
      <c r="D107" s="18"/>
      <c r="E107" s="41">
        <f>IFERROR(IF(ISBLANK(A107),D107,INDEX(Lookup!$H$71:$K$90,MATCH(A107,Lookup!$H$71:$H$90,0),3)*D107),"")</f>
        <v>0</v>
      </c>
      <c r="F107" s="41" t="str">
        <f>IFERROR(INDEX(Lookup!$H$71:$K$90,MATCH(A107,Lookup!$H$71:$H$90,0),4),"")</f>
        <v/>
      </c>
      <c r="G107" s="15"/>
      <c r="H107" s="17"/>
      <c r="I107" s="354"/>
      <c r="J107" s="43" t="str">
        <f t="shared" si="12"/>
        <v/>
      </c>
      <c r="K107" s="363"/>
      <c r="L107" s="97"/>
      <c r="M107" s="49" t="str">
        <f>IFERROR(VLOOKUP(K107,Lookup!$H$48:$K$61,MATCH(L107,Lookup!$I$48:$K$48,0)+1,0),"")</f>
        <v/>
      </c>
      <c r="N107" s="15"/>
      <c r="O107" s="228" t="str">
        <f t="shared" si="13"/>
        <v/>
      </c>
      <c r="P107" s="569"/>
      <c r="Q107" s="570"/>
      <c r="R107" s="570"/>
      <c r="S107" s="570"/>
      <c r="T107" s="570"/>
      <c r="U107" s="570"/>
      <c r="V107" s="571"/>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row>
    <row r="108" spans="1:51" x14ac:dyDescent="0.25">
      <c r="A108" s="557"/>
      <c r="B108" s="558"/>
      <c r="C108" s="48" t="str">
        <f>IFERROR(INDEX(Lookup!$H$71:$K$90,MATCH(A108,Lookup!$H$71:$H$90,0),2),"")</f>
        <v/>
      </c>
      <c r="D108" s="18"/>
      <c r="E108" s="41">
        <f>IFERROR(IF(ISBLANK(A108),D108,INDEX(Lookup!$H$71:$K$90,MATCH(A108,Lookup!$H$71:$H$90,0),3)*D108),"")</f>
        <v>0</v>
      </c>
      <c r="F108" s="41" t="str">
        <f>IFERROR(INDEX(Lookup!$H$71:$K$90,MATCH(A108,Lookup!$H$71:$H$90,0),4),"")</f>
        <v/>
      </c>
      <c r="G108" s="15"/>
      <c r="H108" s="17"/>
      <c r="I108" s="354"/>
      <c r="J108" s="43" t="str">
        <f t="shared" si="12"/>
        <v/>
      </c>
      <c r="K108" s="363"/>
      <c r="L108" s="97"/>
      <c r="M108" s="49" t="str">
        <f>IFERROR(VLOOKUP(K108,Lookup!$H$48:$K$61,MATCH(L108,Lookup!$I$48:$K$48,0)+1,0),"")</f>
        <v/>
      </c>
      <c r="N108" s="15"/>
      <c r="O108" s="228" t="str">
        <f t="shared" si="13"/>
        <v/>
      </c>
      <c r="P108" s="569"/>
      <c r="Q108" s="570"/>
      <c r="R108" s="570"/>
      <c r="S108" s="570"/>
      <c r="T108" s="570"/>
      <c r="U108" s="570"/>
      <c r="V108" s="571"/>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row>
    <row r="109" spans="1:51" x14ac:dyDescent="0.25">
      <c r="A109" s="557"/>
      <c r="B109" s="558"/>
      <c r="C109" s="48" t="str">
        <f>IFERROR(INDEX(Lookup!$H$71:$K$90,MATCH(A109,Lookup!$H$71:$H$90,0),2),"")</f>
        <v/>
      </c>
      <c r="D109" s="18"/>
      <c r="E109" s="41">
        <f>IFERROR(IF(ISBLANK(A109),D109,INDEX(Lookup!$H$71:$K$90,MATCH(A109,Lookup!$H$71:$H$90,0),3)*D109),"")</f>
        <v>0</v>
      </c>
      <c r="F109" s="41" t="str">
        <f>IFERROR(INDEX(Lookup!$H$71:$K$90,MATCH(A109,Lookup!$H$71:$H$90,0),4),"")</f>
        <v/>
      </c>
      <c r="G109" s="15"/>
      <c r="H109" s="17"/>
      <c r="I109" s="354"/>
      <c r="J109" s="43" t="str">
        <f t="shared" si="12"/>
        <v/>
      </c>
      <c r="K109" s="363"/>
      <c r="L109" s="97"/>
      <c r="M109" s="49" t="str">
        <f>IFERROR(VLOOKUP(K109,Lookup!$H$48:$K$61,MATCH(L109,Lookup!$I$48:$K$48,0)+1,0),"")</f>
        <v/>
      </c>
      <c r="N109" s="15"/>
      <c r="O109" s="228" t="str">
        <f t="shared" si="13"/>
        <v/>
      </c>
      <c r="P109" s="569"/>
      <c r="Q109" s="570"/>
      <c r="R109" s="570"/>
      <c r="S109" s="570"/>
      <c r="T109" s="570"/>
      <c r="U109" s="570"/>
      <c r="V109" s="571"/>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row>
    <row r="110" spans="1:51" x14ac:dyDescent="0.25">
      <c r="A110" s="557"/>
      <c r="B110" s="558"/>
      <c r="C110" s="48" t="str">
        <f>IFERROR(INDEX(Lookup!$H$71:$K$90,MATCH(A110,Lookup!$H$71:$H$90,0),2),"")</f>
        <v/>
      </c>
      <c r="D110" s="18"/>
      <c r="E110" s="41">
        <f>IFERROR(IF(ISBLANK(A110),D110,INDEX(Lookup!$H$71:$K$90,MATCH(A110,Lookup!$H$71:$H$90,0),3)*D110),"")</f>
        <v>0</v>
      </c>
      <c r="F110" s="41" t="str">
        <f>IFERROR(INDEX(Lookup!$H$71:$K$90,MATCH(A110,Lookup!$H$71:$H$90,0),4),"")</f>
        <v/>
      </c>
      <c r="G110" s="15"/>
      <c r="H110" s="17"/>
      <c r="I110" s="354"/>
      <c r="J110" s="43" t="str">
        <f t="shared" si="12"/>
        <v/>
      </c>
      <c r="K110" s="363"/>
      <c r="L110" s="97"/>
      <c r="M110" s="49" t="str">
        <f>IFERROR(VLOOKUP(K110,Lookup!$H$48:$K$61,MATCH(L110,Lookup!$I$48:$K$48,0)+1,0),"")</f>
        <v/>
      </c>
      <c r="N110" s="15"/>
      <c r="O110" s="228" t="str">
        <f t="shared" si="13"/>
        <v/>
      </c>
      <c r="P110" s="569"/>
      <c r="Q110" s="570"/>
      <c r="R110" s="570"/>
      <c r="S110" s="570"/>
      <c r="T110" s="570"/>
      <c r="U110" s="570"/>
      <c r="V110" s="571"/>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row>
    <row r="111" spans="1:51" ht="15" customHeight="1" x14ac:dyDescent="0.25">
      <c r="A111" s="557"/>
      <c r="B111" s="558"/>
      <c r="C111" s="48" t="str">
        <f>IFERROR(INDEX(Lookup!$H$71:$K$90,MATCH(A111,Lookup!$H$71:$H$90,0),2),"")</f>
        <v/>
      </c>
      <c r="D111" s="18"/>
      <c r="E111" s="41">
        <f>IFERROR(IF(ISBLANK(A111),D111,INDEX(Lookup!$H$71:$K$90,MATCH(A111,Lookup!$H$71:$H$90,0),3)*D111),"")</f>
        <v>0</v>
      </c>
      <c r="F111" s="41" t="str">
        <f>IFERROR(INDEX(Lookup!$H$71:$K$90,MATCH(A111,Lookup!$H$71:$H$90,0),4),"")</f>
        <v/>
      </c>
      <c r="G111" s="15"/>
      <c r="H111" s="17"/>
      <c r="I111" s="354"/>
      <c r="J111" s="43" t="str">
        <f t="shared" si="12"/>
        <v/>
      </c>
      <c r="K111" s="363"/>
      <c r="L111" s="97"/>
      <c r="M111" s="49" t="str">
        <f>IFERROR(VLOOKUP(K111,Lookup!$H$48:$K$61,MATCH(L111,Lookup!$I$48:$K$48,0)+1,0),"")</f>
        <v/>
      </c>
      <c r="N111" s="15"/>
      <c r="O111" s="228" t="str">
        <f t="shared" si="13"/>
        <v/>
      </c>
      <c r="P111" s="569"/>
      <c r="Q111" s="570"/>
      <c r="R111" s="570"/>
      <c r="S111" s="570"/>
      <c r="T111" s="570"/>
      <c r="U111" s="570"/>
      <c r="V111" s="571"/>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row>
    <row r="112" spans="1:51" x14ac:dyDescent="0.25">
      <c r="A112" s="557"/>
      <c r="B112" s="558"/>
      <c r="C112" s="48" t="str">
        <f>IFERROR(INDEX(Lookup!$H$71:$K$90,MATCH(A112,Lookup!$H$71:$H$90,0),2),"")</f>
        <v/>
      </c>
      <c r="D112" s="18"/>
      <c r="E112" s="41">
        <f>IFERROR(IF(ISBLANK(A112),D112,INDEX(Lookup!$H$71:$K$90,MATCH(A112,Lookup!$H$71:$H$90,0),3)*D112),"")</f>
        <v>0</v>
      </c>
      <c r="F112" s="41" t="str">
        <f>IFERROR(INDEX(Lookup!$H$71:$K$90,MATCH(A112,Lookup!$H$71:$H$90,0),4),"")</f>
        <v/>
      </c>
      <c r="G112" s="15"/>
      <c r="H112" s="17"/>
      <c r="I112" s="354"/>
      <c r="J112" s="43" t="str">
        <f t="shared" si="12"/>
        <v/>
      </c>
      <c r="K112" s="363"/>
      <c r="L112" s="97"/>
      <c r="M112" s="49" t="str">
        <f>IFERROR(VLOOKUP(K112,Lookup!$H$48:$K$61,MATCH(L112,Lookup!$I$48:$K$48,0)+1,0),"")</f>
        <v/>
      </c>
      <c r="N112" s="15"/>
      <c r="O112" s="228" t="str">
        <f t="shared" si="13"/>
        <v/>
      </c>
      <c r="P112" s="569"/>
      <c r="Q112" s="570"/>
      <c r="R112" s="570"/>
      <c r="S112" s="570"/>
      <c r="T112" s="570"/>
      <c r="U112" s="570"/>
      <c r="V112" s="571"/>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row>
    <row r="113" spans="1:51" x14ac:dyDescent="0.25">
      <c r="A113" s="557"/>
      <c r="B113" s="558"/>
      <c r="C113" s="48" t="str">
        <f>IFERROR(INDEX(Lookup!$H$71:$K$90,MATCH(A113,Lookup!$H$71:$H$90,0),2),"")</f>
        <v/>
      </c>
      <c r="D113" s="18"/>
      <c r="E113" s="41">
        <f>IFERROR(IF(ISBLANK(A113),D113,INDEX(Lookup!$H$71:$K$90,MATCH(A113,Lookup!$H$71:$H$90,0),3)*D113),"")</f>
        <v>0</v>
      </c>
      <c r="F113" s="41" t="str">
        <f>IFERROR(INDEX(Lookup!$H$71:$K$90,MATCH(A113,Lookup!$H$71:$H$90,0),4),"")</f>
        <v/>
      </c>
      <c r="G113" s="15"/>
      <c r="H113" s="17"/>
      <c r="I113" s="354"/>
      <c r="J113" s="43" t="str">
        <f t="shared" si="12"/>
        <v/>
      </c>
      <c r="K113" s="363"/>
      <c r="L113" s="97"/>
      <c r="M113" s="49" t="str">
        <f>IFERROR(VLOOKUP(K113,Lookup!$H$48:$K$61,MATCH(L113,Lookup!$I$48:$K$48,0)+1,0),"")</f>
        <v/>
      </c>
      <c r="N113" s="15"/>
      <c r="O113" s="228" t="str">
        <f t="shared" si="13"/>
        <v/>
      </c>
      <c r="P113" s="569"/>
      <c r="Q113" s="570"/>
      <c r="R113" s="570"/>
      <c r="S113" s="570"/>
      <c r="T113" s="570"/>
      <c r="U113" s="570"/>
      <c r="V113" s="571"/>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row>
    <row r="114" spans="1:51" x14ac:dyDescent="0.25">
      <c r="A114" s="557"/>
      <c r="B114" s="558"/>
      <c r="C114" s="48" t="str">
        <f>IFERROR(INDEX(Lookup!$H$71:$K$90,MATCH(A114,Lookup!$H$71:$H$90,0),2),"")</f>
        <v/>
      </c>
      <c r="D114" s="18"/>
      <c r="E114" s="41">
        <f>IFERROR(IF(ISBLANK(A114),D114,INDEX(Lookup!$H$71:$K$90,MATCH(A114,Lookup!$H$71:$H$90,0),3)*D114),"")</f>
        <v>0</v>
      </c>
      <c r="F114" s="41" t="str">
        <f>IFERROR(INDEX(Lookup!$H$71:$K$90,MATCH(A114,Lookup!$H$71:$H$90,0),4),"")</f>
        <v/>
      </c>
      <c r="G114" s="15"/>
      <c r="H114" s="17"/>
      <c r="I114" s="354"/>
      <c r="J114" s="43" t="str">
        <f t="shared" si="12"/>
        <v/>
      </c>
      <c r="K114" s="363"/>
      <c r="L114" s="97"/>
      <c r="M114" s="49" t="str">
        <f>IFERROR(VLOOKUP(K114,Lookup!$H$48:$K$61,MATCH(L114,Lookup!$I$48:$K$48,0)+1,0),"")</f>
        <v/>
      </c>
      <c r="N114" s="15"/>
      <c r="O114" s="228" t="str">
        <f t="shared" si="13"/>
        <v/>
      </c>
      <c r="P114" s="569"/>
      <c r="Q114" s="570"/>
      <c r="R114" s="570"/>
      <c r="S114" s="570"/>
      <c r="T114" s="570"/>
      <c r="U114" s="570"/>
      <c r="V114" s="571"/>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row>
    <row r="115" spans="1:51" x14ac:dyDescent="0.25">
      <c r="A115" s="557"/>
      <c r="B115" s="558"/>
      <c r="C115" s="48" t="str">
        <f>IFERROR(INDEX(Lookup!$H$71:$K$90,MATCH(A115,Lookup!$H$71:$H$90,0),2),"")</f>
        <v/>
      </c>
      <c r="D115" s="18"/>
      <c r="E115" s="41">
        <f>IFERROR(IF(ISBLANK(A115),D115,INDEX(Lookup!$H$71:$K$90,MATCH(A115,Lookup!$H$71:$H$90,0),3)*D115),"")</f>
        <v>0</v>
      </c>
      <c r="F115" s="41" t="str">
        <f>IFERROR(INDEX(Lookup!$H$71:$K$90,MATCH(A115,Lookup!$H$71:$H$90,0),4),"")</f>
        <v/>
      </c>
      <c r="G115" s="15"/>
      <c r="H115" s="17"/>
      <c r="I115" s="403"/>
      <c r="J115" s="43" t="str">
        <f t="shared" si="12"/>
        <v/>
      </c>
      <c r="K115" s="363"/>
      <c r="L115" s="97"/>
      <c r="M115" s="49" t="str">
        <f>IFERROR(VLOOKUP(K115,Lookup!$H$48:$K$61,MATCH(L115,Lookup!$I$48:$K$48,0)+1,0),"")</f>
        <v/>
      </c>
      <c r="N115" s="15"/>
      <c r="O115" s="228" t="str">
        <f t="shared" si="13"/>
        <v/>
      </c>
      <c r="P115" s="569"/>
      <c r="Q115" s="570"/>
      <c r="R115" s="570"/>
      <c r="S115" s="570"/>
      <c r="T115" s="570"/>
      <c r="U115" s="570"/>
      <c r="V115" s="571"/>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row>
    <row r="116" spans="1:51" x14ac:dyDescent="0.25">
      <c r="A116" s="557"/>
      <c r="B116" s="558"/>
      <c r="C116" s="48" t="str">
        <f>IFERROR(INDEX(Lookup!$H$71:$K$90,MATCH(A116,Lookup!$H$71:$H$90,0),2),"")</f>
        <v/>
      </c>
      <c r="D116" s="18"/>
      <c r="E116" s="41">
        <f>IFERROR(IF(ISBLANK(A116),D116,INDEX(Lookup!$H$71:$K$90,MATCH(A116,Lookup!$H$71:$H$90,0),3)*D116),"")</f>
        <v>0</v>
      </c>
      <c r="F116" s="41" t="str">
        <f>IFERROR(INDEX(Lookup!$H$71:$K$90,MATCH(A116,Lookup!$H$71:$H$90,0),4),"")</f>
        <v/>
      </c>
      <c r="G116" s="15"/>
      <c r="H116" s="17"/>
      <c r="I116" s="403"/>
      <c r="J116" s="43" t="str">
        <f t="shared" si="12"/>
        <v/>
      </c>
      <c r="K116" s="363"/>
      <c r="L116" s="97"/>
      <c r="M116" s="49" t="str">
        <f>IFERROR(VLOOKUP(K116,Lookup!$H$48:$K$61,MATCH(L116,Lookup!$I$48:$K$48,0)+1,0),"")</f>
        <v/>
      </c>
      <c r="N116" s="15"/>
      <c r="O116" s="228" t="str">
        <f t="shared" si="13"/>
        <v/>
      </c>
      <c r="P116" s="569"/>
      <c r="Q116" s="570"/>
      <c r="R116" s="570"/>
      <c r="S116" s="570"/>
      <c r="T116" s="570"/>
      <c r="U116" s="570"/>
      <c r="V116" s="571"/>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row>
    <row r="117" spans="1:51" ht="14.45" customHeight="1" x14ac:dyDescent="0.25">
      <c r="A117" s="565" t="s">
        <v>525</v>
      </c>
      <c r="B117" s="565"/>
      <c r="C117" s="565"/>
      <c r="D117" s="565"/>
      <c r="E117" s="565"/>
      <c r="F117" s="565"/>
      <c r="G117" s="7"/>
      <c r="H117" s="565" t="s">
        <v>904</v>
      </c>
      <c r="I117" s="565"/>
      <c r="J117" s="565"/>
      <c r="K117" s="565"/>
      <c r="L117" s="565"/>
      <c r="M117" s="565"/>
      <c r="N117" s="565"/>
      <c r="O117" s="565"/>
      <c r="P117" s="565"/>
      <c r="Q117" s="565"/>
      <c r="R117" s="565"/>
      <c r="S117" s="565"/>
      <c r="T117" s="294"/>
      <c r="U117" s="294"/>
      <c r="V117" s="294"/>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row>
    <row r="118" spans="1:51" x14ac:dyDescent="0.25">
      <c r="A118" s="566"/>
      <c r="B118" s="566"/>
      <c r="C118" s="566"/>
      <c r="D118" s="566"/>
      <c r="E118" s="566"/>
      <c r="F118" s="566"/>
      <c r="G118" s="23"/>
      <c r="H118" s="567"/>
      <c r="I118" s="567"/>
      <c r="J118" s="567"/>
      <c r="K118" s="567"/>
      <c r="L118" s="567"/>
      <c r="M118" s="567"/>
      <c r="N118" s="567"/>
      <c r="O118" s="567"/>
      <c r="P118" s="567"/>
      <c r="Q118" s="567"/>
      <c r="R118" s="567"/>
      <c r="S118" s="567"/>
      <c r="T118" s="293"/>
      <c r="U118" s="293"/>
      <c r="V118" s="293"/>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row>
    <row r="119" spans="1:51" x14ac:dyDescent="0.25">
      <c r="A119" s="23"/>
      <c r="B119" s="23"/>
      <c r="C119" s="23"/>
      <c r="D119" s="23"/>
      <c r="E119" s="23"/>
      <c r="F119" s="23"/>
      <c r="G119" s="23"/>
      <c r="H119" s="23"/>
      <c r="I119" s="23"/>
      <c r="J119" s="7"/>
      <c r="K119" s="21"/>
      <c r="L119" s="21"/>
      <c r="M119" s="21"/>
      <c r="N119" s="21"/>
      <c r="O119" s="21"/>
      <c r="P119" s="7"/>
      <c r="Q119" s="255"/>
      <c r="R119" s="255"/>
      <c r="S119" s="255"/>
      <c r="T119" s="255"/>
      <c r="U119" s="255"/>
      <c r="V119" s="255"/>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row>
    <row r="120" spans="1:51" x14ac:dyDescent="0.25">
      <c r="A120" s="23"/>
      <c r="B120" s="23"/>
      <c r="C120" s="23"/>
      <c r="D120" s="23"/>
      <c r="E120" s="23"/>
      <c r="F120" s="23"/>
      <c r="G120" s="7"/>
      <c r="H120" s="7"/>
      <c r="I120" s="7"/>
      <c r="J120" s="7"/>
      <c r="K120" s="7"/>
      <c r="L120" s="7"/>
      <c r="M120" s="7"/>
      <c r="N120" s="7"/>
      <c r="O120" s="21"/>
      <c r="P120" s="7"/>
      <c r="Q120" s="255"/>
      <c r="R120" s="255"/>
      <c r="S120" s="255"/>
      <c r="T120" s="255"/>
      <c r="U120" s="255"/>
      <c r="V120" s="255"/>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row>
    <row r="121" spans="1:51" x14ac:dyDescent="0.25">
      <c r="A121" s="10" t="s">
        <v>673</v>
      </c>
      <c r="B121" s="30"/>
      <c r="C121" s="30"/>
      <c r="D121" s="30"/>
      <c r="E121" s="23"/>
      <c r="F121" s="23"/>
      <c r="G121" s="23"/>
      <c r="H121" s="7"/>
      <c r="I121" s="7"/>
      <c r="J121" s="7"/>
      <c r="K121" s="21"/>
      <c r="L121" s="21" t="s">
        <v>283</v>
      </c>
      <c r="M121" s="21"/>
      <c r="N121" s="21"/>
      <c r="O121" s="21"/>
      <c r="P121" s="7"/>
      <c r="Q121" s="255"/>
      <c r="R121" s="255"/>
      <c r="S121" s="255"/>
      <c r="T121" s="255"/>
      <c r="U121" s="255"/>
      <c r="V121" s="255"/>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row>
    <row r="122" spans="1:51" ht="14.45" customHeight="1" x14ac:dyDescent="0.25">
      <c r="A122" s="531" t="s">
        <v>526</v>
      </c>
      <c r="B122" s="533"/>
      <c r="C122" s="101" t="s">
        <v>6</v>
      </c>
      <c r="D122" s="101" t="s">
        <v>2</v>
      </c>
      <c r="E122" s="124" t="s">
        <v>94</v>
      </c>
      <c r="F122" s="531" t="s">
        <v>284</v>
      </c>
      <c r="G122" s="532"/>
      <c r="H122" s="532"/>
      <c r="I122" s="533"/>
      <c r="J122" s="531" t="s">
        <v>369</v>
      </c>
      <c r="K122" s="532"/>
      <c r="L122" s="532"/>
      <c r="M122" s="533"/>
      <c r="N122" s="531" t="s">
        <v>285</v>
      </c>
      <c r="O122" s="532"/>
      <c r="P122" s="532"/>
      <c r="Q122" s="532"/>
      <c r="R122" s="533"/>
      <c r="S122" s="568" t="s">
        <v>286</v>
      </c>
      <c r="T122" s="568"/>
      <c r="U122" s="568"/>
      <c r="V122" s="568"/>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row>
    <row r="123" spans="1:51" x14ac:dyDescent="0.25">
      <c r="A123" s="557"/>
      <c r="B123" s="558"/>
      <c r="C123" s="43" t="str">
        <f>IFERROR(INDEX(Lookup!$H$93:$J$99,MATCH(A123,Lookup!$H$93:$H$99,0),2),"")</f>
        <v/>
      </c>
      <c r="D123" s="14"/>
      <c r="E123" s="43">
        <f>IFERROR(IF(ISBLANK(A123),D123,INDEX(Lookup!$H$93:$J$99,MATCH(A123,Lookup!$H$93:$H$99,0),3)*D123),"")</f>
        <v>0</v>
      </c>
      <c r="F123" s="559"/>
      <c r="G123" s="560"/>
      <c r="H123" s="560"/>
      <c r="I123" s="561"/>
      <c r="J123" s="504"/>
      <c r="K123" s="505"/>
      <c r="L123" s="505"/>
      <c r="M123" s="506"/>
      <c r="N123" s="562"/>
      <c r="O123" s="563"/>
      <c r="P123" s="563"/>
      <c r="Q123" s="563"/>
      <c r="R123" s="564"/>
      <c r="S123" s="559"/>
      <c r="T123" s="560"/>
      <c r="U123" s="560"/>
      <c r="V123" s="561"/>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row>
    <row r="124" spans="1:51" x14ac:dyDescent="0.25">
      <c r="A124" s="557"/>
      <c r="B124" s="558"/>
      <c r="C124" s="43" t="str">
        <f>IFERROR(INDEX(Lookup!$H$93:$J$99,MATCH(A124,Lookup!$H$93:$H$99,0),2),"")</f>
        <v/>
      </c>
      <c r="D124" s="14"/>
      <c r="E124" s="43">
        <f>IFERROR(IF(ISBLANK(A124),D124,INDEX(Lookup!$H$93:$J$99,MATCH(A124,Lookup!$H$93:$H$99,0),3)*D124),"")</f>
        <v>0</v>
      </c>
      <c r="F124" s="559"/>
      <c r="G124" s="560"/>
      <c r="H124" s="560"/>
      <c r="I124" s="561"/>
      <c r="J124" s="504"/>
      <c r="K124" s="505"/>
      <c r="L124" s="505"/>
      <c r="M124" s="506"/>
      <c r="N124" s="562"/>
      <c r="O124" s="563"/>
      <c r="P124" s="563"/>
      <c r="Q124" s="563"/>
      <c r="R124" s="564"/>
      <c r="S124" s="559"/>
      <c r="T124" s="560"/>
      <c r="U124" s="560"/>
      <c r="V124" s="561"/>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row>
    <row r="125" spans="1:51" x14ac:dyDescent="0.25">
      <c r="A125" s="557"/>
      <c r="B125" s="558"/>
      <c r="C125" s="43" t="str">
        <f>IFERROR(INDEX(Lookup!$H$93:$J$99,MATCH(A125,Lookup!$H$93:$H$99,0),2),"")</f>
        <v/>
      </c>
      <c r="D125" s="14"/>
      <c r="E125" s="43">
        <f>IFERROR(IF(ISBLANK(A125),D125,INDEX(Lookup!$H$93:$J$99,MATCH(A125,Lookup!$H$93:$H$99,0),3)*D125),"")</f>
        <v>0</v>
      </c>
      <c r="F125" s="559"/>
      <c r="G125" s="560"/>
      <c r="H125" s="560"/>
      <c r="I125" s="561"/>
      <c r="J125" s="504"/>
      <c r="K125" s="505"/>
      <c r="L125" s="505"/>
      <c r="M125" s="506"/>
      <c r="N125" s="562"/>
      <c r="O125" s="563"/>
      <c r="P125" s="563"/>
      <c r="Q125" s="563"/>
      <c r="R125" s="564"/>
      <c r="S125" s="559"/>
      <c r="T125" s="560"/>
      <c r="U125" s="560"/>
      <c r="V125" s="561"/>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row>
    <row r="126" spans="1:51" x14ac:dyDescent="0.25">
      <c r="A126" s="557"/>
      <c r="B126" s="558"/>
      <c r="C126" s="43" t="str">
        <f>IFERROR(INDEX(Lookup!$H$93:$J$99,MATCH(A126,Lookup!$H$93:$H$99,0),2),"")</f>
        <v/>
      </c>
      <c r="D126" s="14"/>
      <c r="E126" s="43">
        <f>IFERROR(IF(ISBLANK(A126),D126,INDEX(Lookup!$H$93:$J$99,MATCH(A126,Lookup!$H$93:$H$99,0),3)*D126),"")</f>
        <v>0</v>
      </c>
      <c r="F126" s="559"/>
      <c r="G126" s="560"/>
      <c r="H126" s="560"/>
      <c r="I126" s="561"/>
      <c r="J126" s="504"/>
      <c r="K126" s="505"/>
      <c r="L126" s="505"/>
      <c r="M126" s="506"/>
      <c r="N126" s="562"/>
      <c r="O126" s="563"/>
      <c r="P126" s="563"/>
      <c r="Q126" s="563"/>
      <c r="R126" s="564"/>
      <c r="S126" s="559"/>
      <c r="T126" s="560"/>
      <c r="U126" s="560"/>
      <c r="V126" s="561"/>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row>
    <row r="127" spans="1:51" x14ac:dyDescent="0.25">
      <c r="A127" s="557"/>
      <c r="B127" s="558"/>
      <c r="C127" s="43" t="str">
        <f>IFERROR(INDEX(Lookup!$H$93:$J$99,MATCH(A127,Lookup!$H$93:$H$99,0),2),"")</f>
        <v/>
      </c>
      <c r="D127" s="14"/>
      <c r="E127" s="43">
        <f>IFERROR(IF(ISBLANK(A127),D127,INDEX(Lookup!$H$93:$J$99,MATCH(A127,Lookup!$H$93:$H$99,0),3)*D127),"")</f>
        <v>0</v>
      </c>
      <c r="F127" s="559"/>
      <c r="G127" s="560"/>
      <c r="H127" s="560"/>
      <c r="I127" s="561"/>
      <c r="J127" s="504"/>
      <c r="K127" s="505"/>
      <c r="L127" s="505"/>
      <c r="M127" s="506"/>
      <c r="N127" s="562"/>
      <c r="O127" s="563"/>
      <c r="P127" s="563"/>
      <c r="Q127" s="563"/>
      <c r="R127" s="564"/>
      <c r="S127" s="559"/>
      <c r="T127" s="560"/>
      <c r="U127" s="560"/>
      <c r="V127" s="561"/>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row>
    <row r="128" spans="1:51" x14ac:dyDescent="0.25">
      <c r="A128" s="557"/>
      <c r="B128" s="558"/>
      <c r="C128" s="43" t="str">
        <f>IFERROR(INDEX(Lookup!$H$93:$J$99,MATCH(A128,Lookup!$H$93:$H$99,0),2),"")</f>
        <v/>
      </c>
      <c r="D128" s="14"/>
      <c r="E128" s="43">
        <f>IFERROR(IF(ISBLANK(A128),D128,INDEX(Lookup!$H$93:$J$99,MATCH(A128,Lookup!$H$93:$H$99,0),3)*D128),"")</f>
        <v>0</v>
      </c>
      <c r="F128" s="559"/>
      <c r="G128" s="560"/>
      <c r="H128" s="560"/>
      <c r="I128" s="561"/>
      <c r="J128" s="504"/>
      <c r="K128" s="505"/>
      <c r="L128" s="505"/>
      <c r="M128" s="506"/>
      <c r="N128" s="562"/>
      <c r="O128" s="563"/>
      <c r="P128" s="563"/>
      <c r="Q128" s="563"/>
      <c r="R128" s="564"/>
      <c r="S128" s="559"/>
      <c r="T128" s="560"/>
      <c r="U128" s="560"/>
      <c r="V128" s="561"/>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row>
    <row r="129" spans="1:51" x14ac:dyDescent="0.25">
      <c r="A129" s="557"/>
      <c r="B129" s="558"/>
      <c r="C129" s="43" t="str">
        <f>IFERROR(INDEX(Lookup!$H$93:$J$99,MATCH(A129,Lookup!$H$93:$H$99,0),2),"")</f>
        <v/>
      </c>
      <c r="D129" s="14"/>
      <c r="E129" s="43">
        <f>IFERROR(IF(ISBLANK(A129),D129,INDEX(Lookup!$H$93:$J$99,MATCH(A129,Lookup!$H$93:$H$99,0),3)*D129),"")</f>
        <v>0</v>
      </c>
      <c r="F129" s="559"/>
      <c r="G129" s="560"/>
      <c r="H129" s="560"/>
      <c r="I129" s="561"/>
      <c r="J129" s="504"/>
      <c r="K129" s="505"/>
      <c r="L129" s="505"/>
      <c r="M129" s="506"/>
      <c r="N129" s="562"/>
      <c r="O129" s="563"/>
      <c r="P129" s="563"/>
      <c r="Q129" s="563"/>
      <c r="R129" s="564"/>
      <c r="S129" s="559"/>
      <c r="T129" s="560"/>
      <c r="U129" s="560"/>
      <c r="V129" s="561"/>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row>
    <row r="130" spans="1:51" x14ac:dyDescent="0.25">
      <c r="A130" s="557"/>
      <c r="B130" s="558"/>
      <c r="C130" s="43" t="str">
        <f>IFERROR(INDEX(Lookup!$H$93:$J$99,MATCH(A130,Lookup!$H$93:$H$99,0),2),"")</f>
        <v/>
      </c>
      <c r="D130" s="14"/>
      <c r="E130" s="43">
        <f>IFERROR(IF(ISBLANK(A130),D130,INDEX(Lookup!$H$93:$J$99,MATCH(A130,Lookup!$H$93:$H$99,0),3)*D130),"")</f>
        <v>0</v>
      </c>
      <c r="F130" s="559"/>
      <c r="G130" s="560"/>
      <c r="H130" s="560"/>
      <c r="I130" s="561"/>
      <c r="J130" s="504"/>
      <c r="K130" s="505"/>
      <c r="L130" s="505"/>
      <c r="M130" s="506"/>
      <c r="N130" s="562"/>
      <c r="O130" s="563"/>
      <c r="P130" s="563"/>
      <c r="Q130" s="563"/>
      <c r="R130" s="564"/>
      <c r="S130" s="559"/>
      <c r="T130" s="560"/>
      <c r="U130" s="560"/>
      <c r="V130" s="561"/>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row>
    <row r="131" spans="1:51" x14ac:dyDescent="0.25">
      <c r="A131" s="557"/>
      <c r="B131" s="558"/>
      <c r="C131" s="43" t="str">
        <f>IFERROR(INDEX(Lookup!$H$93:$J$99,MATCH(A131,Lookup!$H$93:$H$99,0),2),"")</f>
        <v/>
      </c>
      <c r="D131" s="14"/>
      <c r="E131" s="43">
        <f>IFERROR(IF(ISBLANK(A131),D131,INDEX(Lookup!$H$93:$J$99,MATCH(A131,Lookup!$H$93:$H$99,0),3)*D131),"")</f>
        <v>0</v>
      </c>
      <c r="F131" s="559"/>
      <c r="G131" s="560"/>
      <c r="H131" s="560"/>
      <c r="I131" s="561"/>
      <c r="J131" s="504"/>
      <c r="K131" s="505"/>
      <c r="L131" s="505"/>
      <c r="M131" s="506"/>
      <c r="N131" s="562"/>
      <c r="O131" s="563"/>
      <c r="P131" s="563"/>
      <c r="Q131" s="563"/>
      <c r="R131" s="564"/>
      <c r="S131" s="559"/>
      <c r="T131" s="560"/>
      <c r="U131" s="560"/>
      <c r="V131" s="561"/>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row>
    <row r="132" spans="1:51" x14ac:dyDescent="0.25">
      <c r="A132" s="557"/>
      <c r="B132" s="558"/>
      <c r="C132" s="43" t="str">
        <f>IFERROR(INDEX(Lookup!$H$93:$J$99,MATCH(A132,Lookup!$H$93:$H$99,0),2),"")</f>
        <v/>
      </c>
      <c r="D132" s="14"/>
      <c r="E132" s="43">
        <f>IFERROR(IF(ISBLANK(A132),D132,INDEX(Lookup!$H$93:$J$99,MATCH(A132,Lookup!$H$93:$H$99,0),3)*D132),"")</f>
        <v>0</v>
      </c>
      <c r="F132" s="559"/>
      <c r="G132" s="560"/>
      <c r="H132" s="560"/>
      <c r="I132" s="561"/>
      <c r="J132" s="504"/>
      <c r="K132" s="505"/>
      <c r="L132" s="505"/>
      <c r="M132" s="506"/>
      <c r="N132" s="562"/>
      <c r="O132" s="563"/>
      <c r="P132" s="563"/>
      <c r="Q132" s="563"/>
      <c r="R132" s="564"/>
      <c r="S132" s="559"/>
      <c r="T132" s="560"/>
      <c r="U132" s="560"/>
      <c r="V132" s="561"/>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row>
    <row r="133" spans="1:51" x14ac:dyDescent="0.25">
      <c r="A133" s="557"/>
      <c r="B133" s="558"/>
      <c r="C133" s="43" t="str">
        <f>IFERROR(INDEX(Lookup!$H$93:$J$99,MATCH(A133,Lookup!$H$93:$H$99,0),2),"")</f>
        <v/>
      </c>
      <c r="D133" s="14"/>
      <c r="E133" s="43">
        <f>IFERROR(IF(ISBLANK(A133),D133,INDEX(Lookup!$H$93:$J$99,MATCH(A133,Lookup!$H$93:$H$99,0),3)*D133),"")</f>
        <v>0</v>
      </c>
      <c r="F133" s="559"/>
      <c r="G133" s="560"/>
      <c r="H133" s="560"/>
      <c r="I133" s="561"/>
      <c r="J133" s="504"/>
      <c r="K133" s="505"/>
      <c r="L133" s="505"/>
      <c r="M133" s="506"/>
      <c r="N133" s="562"/>
      <c r="O133" s="563"/>
      <c r="P133" s="563"/>
      <c r="Q133" s="563"/>
      <c r="R133" s="564"/>
      <c r="S133" s="559"/>
      <c r="T133" s="560"/>
      <c r="U133" s="560"/>
      <c r="V133" s="561"/>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row>
    <row r="134" spans="1:51" x14ac:dyDescent="0.25">
      <c r="A134" s="557"/>
      <c r="B134" s="558"/>
      <c r="C134" s="43" t="str">
        <f>IFERROR(INDEX(Lookup!$H$93:$J$99,MATCH(A134,Lookup!$H$93:$H$99,0),2),"")</f>
        <v/>
      </c>
      <c r="D134" s="14"/>
      <c r="E134" s="43">
        <f>IFERROR(IF(ISBLANK(A134),D134,INDEX(Lookup!$H$93:$J$99,MATCH(A134,Lookup!$H$93:$H$99,0),3)*D134),"")</f>
        <v>0</v>
      </c>
      <c r="F134" s="559"/>
      <c r="G134" s="560"/>
      <c r="H134" s="560"/>
      <c r="I134" s="561"/>
      <c r="J134" s="504"/>
      <c r="K134" s="505"/>
      <c r="L134" s="505"/>
      <c r="M134" s="506"/>
      <c r="N134" s="562"/>
      <c r="O134" s="563"/>
      <c r="P134" s="563"/>
      <c r="Q134" s="563"/>
      <c r="R134" s="564"/>
      <c r="S134" s="559"/>
      <c r="T134" s="560"/>
      <c r="U134" s="560"/>
      <c r="V134" s="561"/>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row>
    <row r="135" spans="1:51" ht="17.45" customHeight="1" x14ac:dyDescent="0.25">
      <c r="A135" s="555" t="s">
        <v>856</v>
      </c>
      <c r="B135" s="555"/>
      <c r="C135" s="555"/>
      <c r="D135" s="555"/>
      <c r="E135" s="294"/>
      <c r="F135" s="512" t="s">
        <v>527</v>
      </c>
      <c r="G135" s="512"/>
      <c r="H135" s="512"/>
      <c r="I135" s="512"/>
      <c r="J135" s="512"/>
      <c r="K135" s="512"/>
      <c r="L135" s="512"/>
      <c r="M135" s="512"/>
      <c r="N135" s="342"/>
      <c r="Q135" s="34"/>
      <c r="R135" s="34"/>
      <c r="S135" s="34"/>
      <c r="T135" s="34"/>
      <c r="U135" s="34"/>
      <c r="V135" s="34"/>
      <c r="W135" s="34"/>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row>
    <row r="136" spans="1:51" ht="18" customHeight="1" x14ac:dyDescent="0.25">
      <c r="A136" s="556"/>
      <c r="B136" s="556"/>
      <c r="C136" s="556"/>
      <c r="D136" s="556"/>
      <c r="E136" s="7"/>
      <c r="F136" s="7"/>
      <c r="G136" s="7"/>
      <c r="H136" s="7"/>
      <c r="I136" s="7"/>
      <c r="J136" s="7"/>
      <c r="K136" s="7"/>
      <c r="L136" s="34"/>
      <c r="M136" s="34"/>
      <c r="N136" s="34"/>
      <c r="O136" s="34"/>
      <c r="P136" s="34"/>
      <c r="Q136" s="34"/>
      <c r="R136" s="34"/>
      <c r="S136" s="34"/>
      <c r="T136" s="34"/>
      <c r="U136" s="34"/>
      <c r="V136" s="34"/>
      <c r="W136" s="34"/>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row>
    <row r="137" spans="1:51" x14ac:dyDescent="0.25">
      <c r="A137" s="7"/>
      <c r="B137" s="7"/>
      <c r="C137" s="7"/>
      <c r="D137" s="7"/>
      <c r="E137" s="7"/>
      <c r="F137" s="7"/>
      <c r="G137" s="7"/>
      <c r="H137" s="7"/>
      <c r="I137" s="7"/>
      <c r="J137" s="7"/>
      <c r="K137" s="7"/>
      <c r="L137" s="34"/>
      <c r="M137" s="34"/>
      <c r="N137" s="34"/>
      <c r="O137" s="34"/>
      <c r="P137" s="34"/>
      <c r="Q137" s="34"/>
      <c r="R137" s="34"/>
      <c r="S137" s="34"/>
      <c r="T137" s="34"/>
      <c r="U137" s="34"/>
      <c r="V137" s="34"/>
      <c r="W137" s="34"/>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row>
    <row r="138" spans="1:51" x14ac:dyDescent="0.25">
      <c r="A138" s="7"/>
      <c r="B138" s="7"/>
      <c r="C138" s="7"/>
      <c r="D138" s="7"/>
      <c r="E138" s="7"/>
      <c r="F138" s="7"/>
      <c r="G138" s="7"/>
      <c r="H138" s="7"/>
      <c r="I138" s="7"/>
      <c r="J138" s="7"/>
      <c r="K138" s="7"/>
      <c r="L138" s="34"/>
      <c r="M138" s="34"/>
      <c r="N138" s="34"/>
      <c r="O138" s="34"/>
      <c r="P138" s="34"/>
      <c r="Q138" s="34"/>
      <c r="R138" s="34"/>
      <c r="S138" s="34"/>
      <c r="T138" s="34"/>
      <c r="U138" s="34"/>
      <c r="V138" s="34"/>
      <c r="W138" s="34"/>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row>
    <row r="139" spans="1:51" x14ac:dyDescent="0.25">
      <c r="A139" s="7"/>
      <c r="B139" s="7"/>
      <c r="C139" s="7"/>
      <c r="D139" s="7"/>
      <c r="E139" s="7"/>
      <c r="F139" s="7"/>
      <c r="G139" s="7"/>
      <c r="H139" s="7"/>
      <c r="I139" s="7"/>
      <c r="J139" s="7"/>
      <c r="K139" s="7"/>
      <c r="L139" s="34"/>
      <c r="M139" s="34"/>
      <c r="N139" s="34"/>
      <c r="O139" s="34"/>
      <c r="P139" s="34"/>
      <c r="Q139" s="34"/>
      <c r="R139" s="34"/>
      <c r="S139" s="34"/>
      <c r="T139" s="34"/>
      <c r="U139" s="34"/>
      <c r="V139" s="34"/>
      <c r="W139" s="34"/>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row>
    <row r="140" spans="1:51" x14ac:dyDescent="0.25">
      <c r="A140" s="7"/>
      <c r="B140" s="7"/>
      <c r="C140" s="7"/>
      <c r="D140" s="7"/>
      <c r="E140" s="7"/>
      <c r="F140" s="7"/>
      <c r="G140" s="7"/>
      <c r="H140" s="7"/>
      <c r="I140" s="7"/>
      <c r="J140" s="7"/>
      <c r="K140" s="7"/>
      <c r="L140" s="34"/>
      <c r="M140" s="34"/>
      <c r="N140" s="34"/>
      <c r="O140" s="34"/>
      <c r="P140" s="34"/>
      <c r="Q140" s="34"/>
      <c r="R140" s="34"/>
      <c r="S140" s="34"/>
      <c r="T140" s="34"/>
      <c r="U140" s="34"/>
      <c r="V140" s="34"/>
      <c r="W140" s="34"/>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row>
    <row r="141" spans="1:51" x14ac:dyDescent="0.25">
      <c r="A141" s="7"/>
      <c r="B141" s="7"/>
      <c r="C141" s="7"/>
      <c r="D141" s="7"/>
      <c r="E141" s="7"/>
      <c r="F141" s="7"/>
      <c r="G141" s="7"/>
      <c r="H141" s="7"/>
      <c r="I141" s="7"/>
      <c r="J141" s="7"/>
      <c r="K141" s="7"/>
      <c r="L141" s="34"/>
      <c r="M141" s="34"/>
      <c r="N141" s="34"/>
      <c r="O141" s="34"/>
      <c r="P141" s="34"/>
      <c r="Q141" s="34"/>
      <c r="R141" s="34"/>
      <c r="S141" s="34"/>
      <c r="T141" s="34"/>
      <c r="U141" s="34"/>
      <c r="V141" s="34"/>
      <c r="W141" s="34"/>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row>
    <row r="142" spans="1:51" x14ac:dyDescent="0.25">
      <c r="A142" s="7"/>
      <c r="B142" s="7"/>
      <c r="C142" s="7"/>
      <c r="D142" s="7"/>
      <c r="E142" s="7"/>
      <c r="F142" s="7"/>
      <c r="G142" s="7"/>
      <c r="H142" s="7"/>
      <c r="I142" s="7"/>
      <c r="J142" s="7"/>
      <c r="K142" s="7"/>
      <c r="L142" s="34"/>
      <c r="M142" s="34"/>
      <c r="N142" s="34"/>
      <c r="O142" s="34"/>
      <c r="P142" s="34"/>
      <c r="Q142" s="34"/>
      <c r="R142" s="34"/>
      <c r="S142" s="34"/>
      <c r="T142" s="34"/>
      <c r="U142" s="34"/>
      <c r="V142" s="34"/>
      <c r="W142" s="34"/>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row>
    <row r="143" spans="1:51" ht="32.450000000000003" customHeight="1" x14ac:dyDescent="0.25">
      <c r="A143" s="253" t="s">
        <v>348</v>
      </c>
      <c r="B143" s="551" t="str">
        <f>E4</f>
        <v>Component 1</v>
      </c>
      <c r="C143" s="551"/>
      <c r="D143" s="552" t="str">
        <f ca="1">G4</f>
        <v>Define Component</v>
      </c>
      <c r="E143" s="553"/>
      <c r="F143" s="553"/>
      <c r="G143" s="554"/>
      <c r="H143" s="7"/>
      <c r="I143" s="234"/>
      <c r="J143" s="248"/>
      <c r="K143" s="248"/>
      <c r="L143" s="259"/>
      <c r="M143" s="258"/>
      <c r="N143" s="258"/>
      <c r="O143" s="34"/>
      <c r="P143" s="34"/>
      <c r="Q143" s="34"/>
      <c r="R143" s="34"/>
      <c r="S143" s="34"/>
      <c r="T143" s="211"/>
      <c r="U143" s="34"/>
      <c r="V143" s="34"/>
      <c r="W143" s="34"/>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row>
    <row r="144" spans="1:51" ht="14.45" customHeight="1" x14ac:dyDescent="0.25">
      <c r="A144" s="23"/>
      <c r="B144" s="34"/>
      <c r="C144" s="34"/>
      <c r="D144" s="256"/>
      <c r="E144" s="256"/>
      <c r="F144" s="34"/>
      <c r="G144" s="34"/>
      <c r="H144" s="34"/>
      <c r="I144" s="34"/>
      <c r="J144" s="34"/>
      <c r="K144" s="34"/>
      <c r="L144" s="34"/>
      <c r="M144" s="34"/>
      <c r="N144" s="34"/>
      <c r="O144" s="34"/>
      <c r="P144" s="34"/>
      <c r="Q144" s="34"/>
      <c r="R144" s="34"/>
      <c r="S144" s="34"/>
      <c r="T144" s="211"/>
      <c r="U144" s="34"/>
      <c r="V144" s="34"/>
      <c r="W144" s="34"/>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row>
    <row r="145" spans="1:51" x14ac:dyDescent="0.25">
      <c r="A145" s="23"/>
      <c r="B145" s="34"/>
      <c r="C145" s="34"/>
      <c r="D145" s="256"/>
      <c r="E145" s="256"/>
      <c r="F145" s="34"/>
      <c r="G145" s="34"/>
      <c r="H145" s="34"/>
      <c r="I145" s="34"/>
      <c r="J145" s="34"/>
      <c r="K145" s="34"/>
      <c r="L145" s="34"/>
      <c r="M145" s="34"/>
      <c r="N145" s="34"/>
      <c r="O145" s="34"/>
      <c r="P145" s="34"/>
      <c r="Q145" s="34"/>
      <c r="R145" s="34"/>
      <c r="S145" s="34"/>
      <c r="T145" s="211"/>
      <c r="U145" s="34"/>
      <c r="V145" s="34"/>
      <c r="W145" s="34"/>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row>
    <row r="146" spans="1:51" x14ac:dyDescent="0.25">
      <c r="A146" s="23"/>
      <c r="B146" s="34"/>
      <c r="C146" s="34"/>
      <c r="D146" s="256"/>
      <c r="E146" s="256"/>
      <c r="F146" s="34"/>
      <c r="G146" s="34"/>
      <c r="H146" s="34"/>
      <c r="I146" s="34"/>
      <c r="J146" s="34"/>
      <c r="K146" s="34"/>
      <c r="L146" s="34"/>
      <c r="M146" s="34"/>
      <c r="N146" s="34"/>
      <c r="O146" s="34"/>
      <c r="P146" s="34"/>
      <c r="Q146" s="34"/>
      <c r="R146" s="34"/>
      <c r="S146" s="34"/>
      <c r="T146" s="211"/>
      <c r="U146" s="34"/>
      <c r="V146" s="34"/>
      <c r="W146" s="34"/>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row>
    <row r="147" spans="1:51" x14ac:dyDescent="0.25">
      <c r="A147" s="10" t="s">
        <v>448</v>
      </c>
      <c r="B147" s="34"/>
      <c r="C147" s="34"/>
      <c r="D147" s="34"/>
      <c r="E147" s="257"/>
      <c r="F147" s="257"/>
      <c r="G147" s="257"/>
      <c r="H147" s="257"/>
      <c r="I147" s="34"/>
      <c r="J147" s="34"/>
      <c r="K147" s="34"/>
      <c r="L147" s="34"/>
      <c r="M147" s="397" t="s">
        <v>106</v>
      </c>
      <c r="N147" s="397"/>
      <c r="O147" s="397"/>
      <c r="P147" s="27"/>
      <c r="Q147" s="7"/>
      <c r="R147" s="7"/>
      <c r="W147" s="34"/>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row>
    <row r="148" spans="1:51" ht="14.45" customHeight="1" x14ac:dyDescent="0.25">
      <c r="A148" s="519" t="s">
        <v>5</v>
      </c>
      <c r="B148" s="520"/>
      <c r="C148" s="520"/>
      <c r="D148" s="521"/>
      <c r="E148" s="124" t="s">
        <v>1</v>
      </c>
      <c r="F148" s="124" t="s">
        <v>2</v>
      </c>
      <c r="G148" s="519" t="s">
        <v>16</v>
      </c>
      <c r="H148" s="520"/>
      <c r="I148" s="520"/>
      <c r="J148" s="520"/>
      <c r="K148" s="521"/>
      <c r="L148" s="211"/>
      <c r="M148" s="582" t="s">
        <v>29</v>
      </c>
      <c r="N148" s="627"/>
      <c r="O148" s="627"/>
      <c r="P148" s="583"/>
      <c r="Q148" s="542" t="s">
        <v>22</v>
      </c>
      <c r="R148" s="543"/>
      <c r="S148" s="582" t="s">
        <v>726</v>
      </c>
      <c r="T148" s="627"/>
      <c r="U148" s="627"/>
      <c r="V148" s="583"/>
      <c r="W148" s="34"/>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row>
    <row r="149" spans="1:51" x14ac:dyDescent="0.25">
      <c r="A149" s="528" t="s">
        <v>95</v>
      </c>
      <c r="B149" s="529"/>
      <c r="C149" s="529"/>
      <c r="D149" s="530"/>
      <c r="E149" s="1"/>
      <c r="F149" s="1"/>
      <c r="G149" s="548"/>
      <c r="H149" s="549"/>
      <c r="I149" s="549"/>
      <c r="J149" s="549"/>
      <c r="K149" s="550"/>
      <c r="L149" s="34"/>
      <c r="M149" s="628"/>
      <c r="N149" s="474"/>
      <c r="O149" s="474"/>
      <c r="P149" s="629"/>
      <c r="Q149" s="544"/>
      <c r="R149" s="545"/>
      <c r="S149" s="628"/>
      <c r="T149" s="474"/>
      <c r="U149" s="474"/>
      <c r="V149" s="629"/>
      <c r="W149" s="34"/>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row>
    <row r="150" spans="1:51" x14ac:dyDescent="0.25">
      <c r="A150" s="503" t="str">
        <f>'User Defined Factors'!A54</f>
        <v>User-defined on-site conventional energy use #1</v>
      </c>
      <c r="B150" s="503"/>
      <c r="C150" s="503"/>
      <c r="D150" s="232" t="s">
        <v>226</v>
      </c>
      <c r="E150" s="41" t="str">
        <f>'User Defined Factors'!B54</f>
        <v>TBD</v>
      </c>
      <c r="F150" s="15"/>
      <c r="G150" s="504"/>
      <c r="H150" s="505"/>
      <c r="I150" s="505"/>
      <c r="J150" s="505"/>
      <c r="K150" s="506"/>
      <c r="L150" s="34"/>
      <c r="M150" s="584"/>
      <c r="N150" s="630"/>
      <c r="O150" s="630"/>
      <c r="P150" s="585"/>
      <c r="Q150" s="546"/>
      <c r="R150" s="547"/>
      <c r="S150" s="584"/>
      <c r="T150" s="630"/>
      <c r="U150" s="630"/>
      <c r="V150" s="585"/>
      <c r="W150" s="34"/>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row>
    <row r="151" spans="1:51" ht="14.45" customHeight="1" x14ac:dyDescent="0.25">
      <c r="A151" s="503" t="str">
        <f>'User Defined Factors'!A55</f>
        <v>User-defined on-site conventional energy use #2</v>
      </c>
      <c r="B151" s="503"/>
      <c r="C151" s="503"/>
      <c r="D151" s="232" t="s">
        <v>226</v>
      </c>
      <c r="E151" s="41" t="str">
        <f>'User Defined Factors'!B55</f>
        <v>TBD</v>
      </c>
      <c r="F151" s="15"/>
      <c r="G151" s="504"/>
      <c r="H151" s="505"/>
      <c r="I151" s="505"/>
      <c r="J151" s="505"/>
      <c r="K151" s="506"/>
      <c r="L151" s="34"/>
      <c r="M151" s="539"/>
      <c r="N151" s="540"/>
      <c r="O151" s="540"/>
      <c r="P151" s="541"/>
      <c r="Q151" s="537"/>
      <c r="R151" s="538"/>
      <c r="S151" s="534"/>
      <c r="T151" s="535"/>
      <c r="U151" s="535"/>
      <c r="V151" s="536"/>
      <c r="W151" s="34"/>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row>
    <row r="152" spans="1:51" ht="14.45" customHeight="1" x14ac:dyDescent="0.25">
      <c r="A152" s="503" t="s">
        <v>371</v>
      </c>
      <c r="B152" s="503"/>
      <c r="C152" s="503"/>
      <c r="D152" s="503"/>
      <c r="E152" s="51" t="s">
        <v>3</v>
      </c>
      <c r="F152" s="15"/>
      <c r="G152" s="504"/>
      <c r="H152" s="505"/>
      <c r="I152" s="505"/>
      <c r="J152" s="505"/>
      <c r="K152" s="506"/>
      <c r="L152" s="34"/>
      <c r="M152" s="539"/>
      <c r="N152" s="540"/>
      <c r="O152" s="540"/>
      <c r="P152" s="541"/>
      <c r="Q152" s="537"/>
      <c r="R152" s="538"/>
      <c r="S152" s="534"/>
      <c r="T152" s="535"/>
      <c r="U152" s="535"/>
      <c r="V152" s="536"/>
      <c r="W152" s="34"/>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row>
    <row r="153" spans="1:51" x14ac:dyDescent="0.25">
      <c r="A153" s="503" t="s">
        <v>372</v>
      </c>
      <c r="B153" s="503"/>
      <c r="C153" s="503"/>
      <c r="D153" s="503"/>
      <c r="E153" s="51" t="s">
        <v>185</v>
      </c>
      <c r="F153" s="15"/>
      <c r="G153" s="504"/>
      <c r="H153" s="505"/>
      <c r="I153" s="505"/>
      <c r="J153" s="505"/>
      <c r="K153" s="506"/>
      <c r="L153" s="34"/>
      <c r="M153" s="539"/>
      <c r="N153" s="540"/>
      <c r="O153" s="540"/>
      <c r="P153" s="541"/>
      <c r="Q153" s="537"/>
      <c r="R153" s="538"/>
      <c r="S153" s="534"/>
      <c r="T153" s="535"/>
      <c r="U153" s="535"/>
      <c r="V153" s="536"/>
      <c r="W153" s="34"/>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row>
    <row r="154" spans="1:51" x14ac:dyDescent="0.25">
      <c r="A154" s="503" t="s">
        <v>373</v>
      </c>
      <c r="B154" s="503"/>
      <c r="C154" s="503"/>
      <c r="D154" s="503"/>
      <c r="E154" s="51" t="s">
        <v>185</v>
      </c>
      <c r="F154" s="15"/>
      <c r="G154" s="504"/>
      <c r="H154" s="505"/>
      <c r="I154" s="505"/>
      <c r="J154" s="505"/>
      <c r="K154" s="506"/>
      <c r="L154" s="34"/>
      <c r="M154" s="539"/>
      <c r="N154" s="540"/>
      <c r="O154" s="540"/>
      <c r="P154" s="541"/>
      <c r="Q154" s="537"/>
      <c r="R154" s="538"/>
      <c r="S154" s="534"/>
      <c r="T154" s="535"/>
      <c r="U154" s="535"/>
      <c r="V154" s="536"/>
      <c r="W154" s="34"/>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row>
    <row r="155" spans="1:51" x14ac:dyDescent="0.25">
      <c r="A155" s="503" t="s">
        <v>674</v>
      </c>
      <c r="B155" s="503"/>
      <c r="C155" s="503"/>
      <c r="D155" s="503"/>
      <c r="E155" s="51" t="s">
        <v>178</v>
      </c>
      <c r="F155" s="15"/>
      <c r="G155" s="504"/>
      <c r="H155" s="505"/>
      <c r="I155" s="505"/>
      <c r="J155" s="505"/>
      <c r="K155" s="506"/>
      <c r="L155" s="34"/>
      <c r="M155" s="539"/>
      <c r="N155" s="540"/>
      <c r="O155" s="540"/>
      <c r="P155" s="541"/>
      <c r="Q155" s="537"/>
      <c r="R155" s="538"/>
      <c r="S155" s="534"/>
      <c r="T155" s="535"/>
      <c r="U155" s="535"/>
      <c r="V155" s="536"/>
      <c r="W155" s="34"/>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row>
    <row r="156" spans="1:51" x14ac:dyDescent="0.25">
      <c r="A156" s="503" t="s">
        <v>375</v>
      </c>
      <c r="B156" s="503"/>
      <c r="C156" s="503"/>
      <c r="D156" s="503"/>
      <c r="E156" s="51" t="s">
        <v>3</v>
      </c>
      <c r="F156" s="15"/>
      <c r="G156" s="504"/>
      <c r="H156" s="505"/>
      <c r="I156" s="505"/>
      <c r="J156" s="505"/>
      <c r="K156" s="506"/>
      <c r="L156" s="34"/>
      <c r="M156" s="539"/>
      <c r="N156" s="540"/>
      <c r="O156" s="540"/>
      <c r="P156" s="541"/>
      <c r="Q156" s="537"/>
      <c r="R156" s="538"/>
      <c r="S156" s="534"/>
      <c r="T156" s="535"/>
      <c r="U156" s="535"/>
      <c r="V156" s="536"/>
      <c r="W156" s="34"/>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row>
    <row r="157" spans="1:51" x14ac:dyDescent="0.25">
      <c r="A157" s="503" t="s">
        <v>376</v>
      </c>
      <c r="B157" s="503"/>
      <c r="C157" s="503"/>
      <c r="D157" s="503"/>
      <c r="E157" s="51" t="s">
        <v>3</v>
      </c>
      <c r="F157" s="15"/>
      <c r="G157" s="504"/>
      <c r="H157" s="505"/>
      <c r="I157" s="505"/>
      <c r="J157" s="505"/>
      <c r="K157" s="506"/>
      <c r="L157" s="34"/>
      <c r="M157" s="539"/>
      <c r="N157" s="540"/>
      <c r="O157" s="540"/>
      <c r="P157" s="541"/>
      <c r="Q157" s="537"/>
      <c r="R157" s="538"/>
      <c r="S157" s="534"/>
      <c r="T157" s="535"/>
      <c r="U157" s="535"/>
      <c r="V157" s="536"/>
      <c r="W157" s="34"/>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row>
    <row r="158" spans="1:51" x14ac:dyDescent="0.25">
      <c r="A158" s="503" t="s">
        <v>377</v>
      </c>
      <c r="B158" s="503"/>
      <c r="C158" s="503"/>
      <c r="D158" s="503"/>
      <c r="E158" s="51" t="s">
        <v>3</v>
      </c>
      <c r="F158" s="15"/>
      <c r="G158" s="504"/>
      <c r="H158" s="505"/>
      <c r="I158" s="505"/>
      <c r="J158" s="505"/>
      <c r="K158" s="506"/>
      <c r="L158" s="34"/>
      <c r="M158" s="539"/>
      <c r="N158" s="540"/>
      <c r="O158" s="540"/>
      <c r="P158" s="541"/>
      <c r="Q158" s="537"/>
      <c r="R158" s="538"/>
      <c r="S158" s="534"/>
      <c r="T158" s="535"/>
      <c r="U158" s="535"/>
      <c r="V158" s="536"/>
      <c r="W158" s="34"/>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row>
    <row r="159" spans="1:51" ht="15.75" customHeight="1" x14ac:dyDescent="0.25">
      <c r="A159" s="212"/>
      <c r="B159" s="213"/>
      <c r="C159" s="213"/>
      <c r="D159" s="214"/>
      <c r="E159" s="215"/>
      <c r="F159" s="216"/>
      <c r="G159" s="525"/>
      <c r="H159" s="526"/>
      <c r="I159" s="526"/>
      <c r="J159" s="526"/>
      <c r="K159" s="527"/>
      <c r="L159" s="211"/>
      <c r="M159" s="539"/>
      <c r="N159" s="540"/>
      <c r="O159" s="540"/>
      <c r="P159" s="541"/>
      <c r="Q159" s="537"/>
      <c r="R159" s="538"/>
      <c r="S159" s="534"/>
      <c r="T159" s="535"/>
      <c r="U159" s="535"/>
      <c r="V159" s="536"/>
      <c r="W159" s="34"/>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row>
    <row r="160" spans="1:51" ht="15" customHeight="1" x14ac:dyDescent="0.25">
      <c r="A160" s="528" t="s">
        <v>50</v>
      </c>
      <c r="B160" s="529"/>
      <c r="C160" s="529"/>
      <c r="D160" s="530"/>
      <c r="E160" s="124" t="s">
        <v>1</v>
      </c>
      <c r="F160" s="124" t="s">
        <v>2</v>
      </c>
      <c r="G160" s="519" t="s">
        <v>16</v>
      </c>
      <c r="H160" s="520"/>
      <c r="I160" s="520"/>
      <c r="J160" s="520"/>
      <c r="K160" s="521"/>
      <c r="L160" s="34"/>
      <c r="M160" s="539"/>
      <c r="N160" s="540"/>
      <c r="O160" s="540"/>
      <c r="P160" s="541"/>
      <c r="Q160" s="537"/>
      <c r="R160" s="538"/>
      <c r="S160" s="534"/>
      <c r="T160" s="535"/>
      <c r="U160" s="535"/>
      <c r="V160" s="536"/>
      <c r="W160" s="34"/>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row>
    <row r="161" spans="1:51" ht="15" customHeight="1" x14ac:dyDescent="0.25">
      <c r="A161" s="503" t="str">
        <f>'User Defined Factors'!A56</f>
        <v>User-defined conventional energy transportation #1</v>
      </c>
      <c r="B161" s="503"/>
      <c r="C161" s="503"/>
      <c r="D161" s="232" t="s">
        <v>226</v>
      </c>
      <c r="E161" s="41" t="str">
        <f>'User Defined Factors'!B56</f>
        <v>TBD</v>
      </c>
      <c r="F161" s="15">
        <v>10</v>
      </c>
      <c r="G161" s="504"/>
      <c r="H161" s="505"/>
      <c r="I161" s="505"/>
      <c r="J161" s="505"/>
      <c r="K161" s="506"/>
      <c r="L161" s="34"/>
      <c r="M161" s="539"/>
      <c r="N161" s="540"/>
      <c r="O161" s="540"/>
      <c r="P161" s="541"/>
      <c r="Q161" s="537"/>
      <c r="R161" s="538"/>
      <c r="S161" s="534"/>
      <c r="T161" s="535"/>
      <c r="U161" s="535"/>
      <c r="V161" s="536"/>
      <c r="W161" s="34"/>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row>
    <row r="162" spans="1:51" ht="15" customHeight="1" x14ac:dyDescent="0.25">
      <c r="A162" s="503" t="str">
        <f>'User Defined Factors'!A57</f>
        <v>User-defined conventional energy transportation #2</v>
      </c>
      <c r="B162" s="503"/>
      <c r="C162" s="503"/>
      <c r="D162" s="232" t="s">
        <v>226</v>
      </c>
      <c r="E162" s="41" t="str">
        <f>'User Defined Factors'!B57</f>
        <v>TBD</v>
      </c>
      <c r="F162" s="338"/>
      <c r="G162" s="504"/>
      <c r="H162" s="505"/>
      <c r="I162" s="505"/>
      <c r="J162" s="505"/>
      <c r="K162" s="506"/>
      <c r="L162" s="34"/>
      <c r="M162" s="539"/>
      <c r="N162" s="540"/>
      <c r="O162" s="540"/>
      <c r="P162" s="541"/>
      <c r="Q162" s="537"/>
      <c r="R162" s="538"/>
      <c r="S162" s="534"/>
      <c r="T162" s="535"/>
      <c r="U162" s="535"/>
      <c r="V162" s="536"/>
      <c r="W162" s="34"/>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row>
    <row r="163" spans="1:51" ht="15.75" customHeight="1" x14ac:dyDescent="0.25">
      <c r="A163" s="524" t="s">
        <v>155</v>
      </c>
      <c r="B163" s="524"/>
      <c r="C163" s="524"/>
      <c r="D163" s="326"/>
      <c r="E163" s="326"/>
      <c r="F163" s="339"/>
      <c r="G163" s="7"/>
      <c r="H163" s="7"/>
      <c r="I163" s="7"/>
      <c r="J163" s="7"/>
      <c r="K163" s="7"/>
      <c r="L163" s="34"/>
      <c r="M163" s="539"/>
      <c r="N163" s="540"/>
      <c r="O163" s="540"/>
      <c r="P163" s="541"/>
      <c r="Q163" s="537"/>
      <c r="R163" s="538"/>
      <c r="S163" s="534"/>
      <c r="T163" s="535"/>
      <c r="U163" s="535"/>
      <c r="V163" s="536"/>
      <c r="W163" s="34"/>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row>
    <row r="164" spans="1:51" x14ac:dyDescent="0.25">
      <c r="A164" s="517" t="s">
        <v>180</v>
      </c>
      <c r="B164" s="517"/>
      <c r="C164" s="517"/>
      <c r="D164" s="517"/>
      <c r="E164" s="517"/>
      <c r="F164" s="517"/>
      <c r="G164" s="325"/>
      <c r="H164" s="325"/>
      <c r="I164" s="325"/>
      <c r="J164" s="325"/>
      <c r="K164" s="325"/>
      <c r="L164" s="34"/>
      <c r="M164" s="531" t="s">
        <v>13</v>
      </c>
      <c r="N164" s="532"/>
      <c r="O164" s="532"/>
      <c r="P164" s="533"/>
      <c r="Q164" s="522">
        <f>SUM(Q151:Q163)</f>
        <v>0</v>
      </c>
      <c r="R164" s="523"/>
      <c r="S164" s="534"/>
      <c r="T164" s="535"/>
      <c r="U164" s="535"/>
      <c r="V164" s="536"/>
      <c r="W164" s="34"/>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row>
    <row r="165" spans="1:51" ht="14.45" customHeight="1" x14ac:dyDescent="0.25">
      <c r="A165" s="502" t="s">
        <v>905</v>
      </c>
      <c r="B165" s="502"/>
      <c r="C165" s="502"/>
      <c r="D165" s="502"/>
      <c r="E165" s="502"/>
      <c r="F165" s="260"/>
      <c r="G165" s="34"/>
      <c r="H165" s="34"/>
      <c r="I165" s="54"/>
      <c r="J165" s="54"/>
      <c r="K165" s="54"/>
      <c r="L165" s="34"/>
      <c r="M165" s="34"/>
      <c r="N165" s="34"/>
      <c r="O165" s="34"/>
      <c r="P165" s="34"/>
      <c r="Q165" s="34"/>
      <c r="R165" s="34"/>
      <c r="S165" s="34"/>
      <c r="T165" s="34"/>
      <c r="U165" s="34"/>
      <c r="V165" s="34"/>
      <c r="W165" s="34"/>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row>
    <row r="166" spans="1:51" x14ac:dyDescent="0.25">
      <c r="A166" s="327"/>
      <c r="B166" s="327"/>
      <c r="C166" s="327"/>
      <c r="D166" s="327"/>
      <c r="E166" s="327"/>
      <c r="F166" s="260"/>
      <c r="G166" s="34"/>
      <c r="H166" s="34"/>
      <c r="I166" s="54"/>
      <c r="J166" s="54"/>
      <c r="K166" s="54"/>
      <c r="L166" s="34"/>
      <c r="M166" s="34"/>
      <c r="N166" s="34"/>
      <c r="O166" s="34"/>
      <c r="P166" s="34"/>
      <c r="Q166" s="34"/>
      <c r="R166" s="34"/>
      <c r="S166" s="34"/>
      <c r="T166" s="34"/>
      <c r="U166" s="34"/>
      <c r="V166" s="34"/>
      <c r="W166" s="34"/>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row>
    <row r="167" spans="1:51" ht="15" customHeight="1" x14ac:dyDescent="0.25">
      <c r="A167" s="53" t="s">
        <v>184</v>
      </c>
      <c r="B167" s="53"/>
      <c r="C167" s="53"/>
      <c r="D167" s="53"/>
      <c r="E167" s="3"/>
      <c r="F167" s="52"/>
      <c r="G167" s="54"/>
      <c r="H167" s="54"/>
      <c r="I167" s="54"/>
      <c r="J167" s="54"/>
      <c r="K167" s="54"/>
      <c r="L167" s="7"/>
      <c r="M167" s="518" t="s">
        <v>163</v>
      </c>
      <c r="N167" s="518"/>
      <c r="O167" s="518"/>
      <c r="P167" s="508" t="s">
        <v>159</v>
      </c>
      <c r="Q167" s="508"/>
      <c r="R167" s="508"/>
      <c r="S167" s="508"/>
      <c r="T167" s="514"/>
      <c r="U167" s="515"/>
      <c r="V167" s="516"/>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row>
    <row r="168" spans="1:51" x14ac:dyDescent="0.25">
      <c r="A168" s="519" t="s">
        <v>5</v>
      </c>
      <c r="B168" s="520"/>
      <c r="C168" s="520"/>
      <c r="D168" s="521"/>
      <c r="E168" s="124" t="s">
        <v>1</v>
      </c>
      <c r="F168" s="124" t="s">
        <v>2</v>
      </c>
      <c r="G168" s="519" t="s">
        <v>16</v>
      </c>
      <c r="H168" s="520"/>
      <c r="I168" s="520"/>
      <c r="J168" s="520"/>
      <c r="K168" s="521"/>
      <c r="L168" s="7"/>
      <c r="M168" s="518"/>
      <c r="N168" s="518"/>
      <c r="O168" s="518"/>
      <c r="P168" s="508" t="s">
        <v>160</v>
      </c>
      <c r="Q168" s="508"/>
      <c r="R168" s="508"/>
      <c r="S168" s="508"/>
      <c r="T168" s="514"/>
      <c r="U168" s="515"/>
      <c r="V168" s="516"/>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row>
    <row r="169" spans="1:51" x14ac:dyDescent="0.25">
      <c r="A169" s="503" t="str">
        <f>'User Defined Factors'!A58</f>
        <v>User-defined on-site renewable energy use #1</v>
      </c>
      <c r="B169" s="503"/>
      <c r="C169" s="503"/>
      <c r="D169" s="232" t="s">
        <v>226</v>
      </c>
      <c r="E169" s="41" t="str">
        <f>'User Defined Factors'!B58</f>
        <v>TBD</v>
      </c>
      <c r="F169" s="15"/>
      <c r="G169" s="504"/>
      <c r="H169" s="505"/>
      <c r="I169" s="505"/>
      <c r="J169" s="505"/>
      <c r="K169" s="506"/>
      <c r="L169" s="7"/>
      <c r="M169" s="518"/>
      <c r="N169" s="518"/>
      <c r="O169" s="518"/>
      <c r="P169" s="508" t="s">
        <v>161</v>
      </c>
      <c r="Q169" s="508"/>
      <c r="R169" s="508"/>
      <c r="S169" s="508"/>
      <c r="T169" s="514"/>
      <c r="U169" s="515"/>
      <c r="V169" s="516"/>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row>
    <row r="170" spans="1:51" ht="15" customHeight="1" x14ac:dyDescent="0.25">
      <c r="A170" s="503" t="str">
        <f>'User Defined Factors'!A59</f>
        <v>User-defined on-site renewable energy use #2</v>
      </c>
      <c r="B170" s="503"/>
      <c r="C170" s="503"/>
      <c r="D170" s="232" t="s">
        <v>226</v>
      </c>
      <c r="E170" s="41" t="str">
        <f>'User Defined Factors'!B59</f>
        <v>TBD</v>
      </c>
      <c r="F170" s="15"/>
      <c r="G170" s="504"/>
      <c r="H170" s="505"/>
      <c r="I170" s="505"/>
      <c r="J170" s="505"/>
      <c r="K170" s="506"/>
      <c r="L170" s="7"/>
      <c r="M170" s="518"/>
      <c r="N170" s="518"/>
      <c r="O170" s="518"/>
      <c r="P170" s="508" t="s">
        <v>162</v>
      </c>
      <c r="Q170" s="508"/>
      <c r="R170" s="508"/>
      <c r="S170" s="508"/>
      <c r="T170" s="514"/>
      <c r="U170" s="515"/>
      <c r="V170" s="516"/>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row>
    <row r="171" spans="1:51" ht="15.75" customHeight="1" x14ac:dyDescent="0.25">
      <c r="A171" s="503" t="str">
        <f>'User Defined Factors'!A60</f>
        <v>User-defined renewable energy transportation #1</v>
      </c>
      <c r="B171" s="503"/>
      <c r="C171" s="503"/>
      <c r="D171" s="232" t="s">
        <v>226</v>
      </c>
      <c r="E171" s="41" t="str">
        <f>'User Defined Factors'!B60</f>
        <v>TBD</v>
      </c>
      <c r="F171" s="338"/>
      <c r="G171" s="504"/>
      <c r="H171" s="505"/>
      <c r="I171" s="505"/>
      <c r="J171" s="505"/>
      <c r="K171" s="506"/>
      <c r="L171" s="7"/>
      <c r="M171" s="507" t="s">
        <v>158</v>
      </c>
      <c r="N171" s="507"/>
      <c r="O171" s="507"/>
      <c r="P171" s="508" t="s">
        <v>159</v>
      </c>
      <c r="Q171" s="508"/>
      <c r="R171" s="508"/>
      <c r="S171" s="508"/>
      <c r="T171" s="514"/>
      <c r="U171" s="515"/>
      <c r="V171" s="516"/>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row>
    <row r="172" spans="1:51" ht="15" customHeight="1" x14ac:dyDescent="0.25">
      <c r="A172" s="503" t="str">
        <f>'User Defined Factors'!A61</f>
        <v>User-defined renewable energy transportation #2</v>
      </c>
      <c r="B172" s="503"/>
      <c r="C172" s="503"/>
      <c r="D172" s="232" t="s">
        <v>226</v>
      </c>
      <c r="E172" s="41" t="str">
        <f>'User Defined Factors'!B61</f>
        <v>TBD</v>
      </c>
      <c r="F172" s="15"/>
      <c r="G172" s="504"/>
      <c r="H172" s="505"/>
      <c r="I172" s="505"/>
      <c r="J172" s="505"/>
      <c r="K172" s="506"/>
      <c r="L172" s="7"/>
      <c r="M172" s="507"/>
      <c r="N172" s="507"/>
      <c r="O172" s="507"/>
      <c r="P172" s="508" t="s">
        <v>161</v>
      </c>
      <c r="Q172" s="508"/>
      <c r="R172" s="508"/>
      <c r="S172" s="508"/>
      <c r="T172" s="514"/>
      <c r="U172" s="515"/>
      <c r="V172" s="516"/>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row>
    <row r="173" spans="1:51" ht="15" customHeight="1" x14ac:dyDescent="0.25">
      <c r="A173" s="509" t="s">
        <v>449</v>
      </c>
      <c r="B173" s="510"/>
      <c r="C173" s="510"/>
      <c r="D173" s="511"/>
      <c r="E173" s="51" t="s">
        <v>135</v>
      </c>
      <c r="F173" s="15"/>
      <c r="G173" s="504"/>
      <c r="H173" s="505"/>
      <c r="I173" s="505"/>
      <c r="J173" s="505"/>
      <c r="K173" s="506"/>
      <c r="L173" s="7"/>
      <c r="M173" s="507"/>
      <c r="N173" s="507"/>
      <c r="O173" s="507"/>
      <c r="P173" s="508" t="s">
        <v>162</v>
      </c>
      <c r="Q173" s="508"/>
      <c r="R173" s="508"/>
      <c r="S173" s="508"/>
      <c r="T173" s="514"/>
      <c r="U173" s="515"/>
      <c r="V173" s="516"/>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row>
    <row r="174" spans="1:51" ht="15" customHeight="1" x14ac:dyDescent="0.25">
      <c r="A174" s="509" t="s">
        <v>450</v>
      </c>
      <c r="B174" s="510"/>
      <c r="C174" s="510"/>
      <c r="D174" s="511"/>
      <c r="E174" s="55" t="s">
        <v>135</v>
      </c>
      <c r="F174" s="338"/>
      <c r="G174" s="504"/>
      <c r="H174" s="505"/>
      <c r="I174" s="505"/>
      <c r="J174" s="505"/>
      <c r="K174" s="506"/>
      <c r="L174" s="7"/>
      <c r="M174" s="507"/>
      <c r="N174" s="507"/>
      <c r="O174" s="507"/>
      <c r="P174" s="508" t="s">
        <v>189</v>
      </c>
      <c r="Q174" s="508"/>
      <c r="R174" s="508"/>
      <c r="S174" s="508"/>
      <c r="T174" s="514"/>
      <c r="U174" s="515"/>
      <c r="V174" s="516"/>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row>
    <row r="175" spans="1:51" ht="15.75" customHeight="1" x14ac:dyDescent="0.25">
      <c r="A175" s="512" t="s">
        <v>155</v>
      </c>
      <c r="B175" s="512"/>
      <c r="C175" s="512"/>
      <c r="D175" s="322"/>
      <c r="E175" s="322"/>
      <c r="F175" s="322"/>
      <c r="G175" s="12"/>
      <c r="H175" s="12"/>
      <c r="I175" s="12"/>
      <c r="J175" s="12"/>
      <c r="K175" s="12"/>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row>
    <row r="176" spans="1:51" x14ac:dyDescent="0.25">
      <c r="A176" s="513" t="s">
        <v>529</v>
      </c>
      <c r="B176" s="513"/>
      <c r="C176" s="513"/>
      <c r="D176" s="513"/>
      <c r="E176" s="513"/>
      <c r="F176" s="513"/>
      <c r="G176" s="513"/>
      <c r="H176" s="513"/>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row>
    <row r="177" spans="1:51" ht="14.45" customHeight="1" x14ac:dyDescent="0.25">
      <c r="A177" s="502" t="s">
        <v>528</v>
      </c>
      <c r="B177" s="502"/>
      <c r="C177" s="502"/>
      <c r="D177" s="502"/>
      <c r="E177" s="34"/>
      <c r="F177" s="34"/>
      <c r="G177" s="34"/>
      <c r="H177" s="34"/>
      <c r="I177" s="34"/>
      <c r="J177" s="34"/>
      <c r="K177" s="34"/>
      <c r="L177" s="34"/>
      <c r="M177" s="34"/>
      <c r="N177" s="34"/>
      <c r="O177" s="34"/>
      <c r="P177" s="34"/>
      <c r="Q177" s="34"/>
      <c r="R177" s="34"/>
      <c r="S177" s="34"/>
      <c r="T177" s="34"/>
      <c r="U177" s="34"/>
      <c r="V177" s="34"/>
      <c r="W177" s="34"/>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row>
    <row r="178" spans="1:51" ht="14.4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row>
    <row r="179" spans="1:51" ht="14.4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row>
    <row r="180" spans="1:51" ht="14.4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row>
    <row r="181" spans="1:51" ht="14.4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row>
    <row r="182" spans="1:51" ht="14.4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row>
    <row r="183" spans="1:51" ht="14.4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row>
    <row r="184" spans="1:51" ht="14.4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row>
    <row r="185" spans="1:51" ht="14.4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row>
    <row r="186" spans="1:51" ht="14.4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row>
    <row r="187" spans="1:51" ht="14.4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row>
    <row r="188" spans="1:51" ht="14.4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row>
    <row r="189" spans="1:51" ht="14.4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row>
    <row r="190" spans="1:51" ht="14.4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row>
    <row r="191" spans="1:51" ht="14.4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row>
    <row r="192" spans="1:51" ht="14.4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row>
    <row r="193" spans="1:51" ht="14.4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row>
    <row r="194" spans="1:51" ht="14.4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row>
    <row r="195" spans="1:51" ht="14.4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row>
    <row r="196" spans="1:51" ht="14.4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row>
    <row r="197" spans="1:51" ht="14.4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row>
    <row r="198" spans="1:51" ht="14.4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row>
    <row r="199" spans="1:51" ht="14.4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row>
    <row r="200" spans="1:51" ht="14.4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row>
    <row r="201" spans="1:51" ht="14.4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row>
    <row r="202" spans="1:51" ht="14.4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row>
    <row r="203" spans="1:51" ht="14.4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row>
    <row r="204" spans="1:51" ht="14.4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row>
    <row r="205" spans="1:51" ht="14.4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row>
    <row r="206" spans="1:51" ht="14.4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row>
    <row r="207" spans="1:51" ht="14.4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row>
    <row r="208" spans="1:51" ht="14.4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row>
    <row r="209" spans="1:51" ht="14.4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row>
    <row r="210" spans="1:51" ht="14.4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row>
    <row r="211" spans="1:51" ht="14.4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row>
    <row r="212" spans="1:51" ht="14.4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row>
    <row r="213" spans="1:51" x14ac:dyDescent="0.25">
      <c r="A213" s="161" t="s">
        <v>41</v>
      </c>
      <c r="B213" s="162"/>
      <c r="G213" s="7"/>
      <c r="H213" s="7"/>
      <c r="I213" s="7"/>
      <c r="J213" s="7"/>
      <c r="K213" s="7"/>
      <c r="L213" s="7"/>
      <c r="M213" s="7"/>
      <c r="N213" s="7"/>
      <c r="O213" s="7"/>
      <c r="P213" s="7"/>
      <c r="Q213" s="7"/>
      <c r="R213" s="7"/>
      <c r="S213" s="7"/>
      <c r="T213" s="7"/>
      <c r="U213" s="7"/>
      <c r="V213" s="7"/>
      <c r="W213" s="7"/>
    </row>
    <row r="214" spans="1:51" x14ac:dyDescent="0.25">
      <c r="A214" s="162"/>
      <c r="B214" s="162"/>
      <c r="G214" s="7"/>
      <c r="H214" s="7"/>
      <c r="I214" s="7"/>
      <c r="J214" s="7"/>
      <c r="K214" s="7"/>
      <c r="L214" s="7"/>
      <c r="M214" s="7"/>
      <c r="N214" s="7"/>
      <c r="O214" s="7"/>
      <c r="P214" s="7"/>
      <c r="Q214" s="7"/>
      <c r="R214" s="7"/>
      <c r="S214" s="7"/>
      <c r="T214" s="7"/>
      <c r="U214" s="7"/>
      <c r="V214" s="7"/>
      <c r="W214" s="7"/>
    </row>
    <row r="215" spans="1:51" x14ac:dyDescent="0.25">
      <c r="A215" s="56" t="s">
        <v>95</v>
      </c>
      <c r="B215" s="1"/>
      <c r="C215" s="1"/>
      <c r="D215" s="1"/>
      <c r="E215" s="51"/>
      <c r="F215" s="51"/>
      <c r="G215" s="7"/>
      <c r="H215" s="8"/>
      <c r="I215" s="34"/>
      <c r="J215" s="7"/>
      <c r="K215" s="7"/>
      <c r="L215" s="7"/>
      <c r="M215" s="7"/>
      <c r="N215" s="7"/>
      <c r="O215" s="7"/>
      <c r="P215" s="7"/>
      <c r="Q215" s="7"/>
      <c r="R215" s="7"/>
      <c r="S215" s="7"/>
      <c r="T215" s="7"/>
      <c r="U215" s="7"/>
      <c r="V215" s="7"/>
      <c r="W215" s="7"/>
    </row>
    <row r="216" spans="1:51" x14ac:dyDescent="0.25">
      <c r="A216" s="141" t="s">
        <v>287</v>
      </c>
      <c r="B216" s="1"/>
      <c r="C216" s="1"/>
      <c r="D216" s="1"/>
      <c r="E216" s="137"/>
      <c r="F216" s="51"/>
      <c r="G216" s="7"/>
      <c r="H216" s="217"/>
      <c r="I216" s="35"/>
      <c r="J216" s="7"/>
      <c r="K216" s="7"/>
      <c r="L216" s="7"/>
      <c r="M216" s="7"/>
      <c r="N216" s="7"/>
      <c r="O216" s="7"/>
      <c r="P216" s="7"/>
      <c r="Q216" s="7"/>
      <c r="R216" s="7"/>
      <c r="S216" s="7"/>
      <c r="T216" s="7"/>
      <c r="U216" s="7"/>
      <c r="V216" s="7"/>
      <c r="W216" s="7"/>
    </row>
    <row r="217" spans="1:51" x14ac:dyDescent="0.25">
      <c r="A217" s="138" t="s">
        <v>123</v>
      </c>
      <c r="B217" s="1"/>
      <c r="C217" s="1"/>
      <c r="D217" s="1"/>
      <c r="E217" s="137" t="s">
        <v>135</v>
      </c>
      <c r="F217" s="51">
        <f>G66/1000</f>
        <v>0</v>
      </c>
      <c r="G217" s="7"/>
      <c r="H217" s="218"/>
      <c r="I217" s="35"/>
      <c r="J217" s="7"/>
      <c r="K217" s="7"/>
      <c r="L217" s="7"/>
      <c r="M217" s="7"/>
      <c r="N217" s="7"/>
      <c r="O217" s="7"/>
      <c r="P217" s="7"/>
      <c r="Q217" s="7"/>
      <c r="R217" s="7"/>
      <c r="S217" s="7"/>
      <c r="T217" s="7"/>
      <c r="U217" s="7"/>
      <c r="V217" s="7"/>
      <c r="W217" s="7"/>
    </row>
    <row r="218" spans="1:51" x14ac:dyDescent="0.25">
      <c r="A218" s="138" t="s">
        <v>124</v>
      </c>
      <c r="B218" s="1"/>
      <c r="C218" s="1"/>
      <c r="D218" s="1"/>
      <c r="E218" s="137" t="s">
        <v>178</v>
      </c>
      <c r="F218" s="51">
        <f>Q67</f>
        <v>0</v>
      </c>
      <c r="G218" s="7"/>
      <c r="H218" s="218"/>
      <c r="I218" s="35"/>
      <c r="J218" s="7"/>
      <c r="K218" s="7"/>
      <c r="L218" s="7"/>
      <c r="M218" s="7"/>
      <c r="N218" s="7"/>
      <c r="O218" s="7"/>
      <c r="P218" s="7"/>
      <c r="Q218" s="7"/>
      <c r="R218" s="7"/>
      <c r="S218" s="7"/>
      <c r="T218" s="7"/>
      <c r="U218" s="7"/>
      <c r="V218" s="7"/>
      <c r="W218" s="7"/>
    </row>
    <row r="219" spans="1:51" x14ac:dyDescent="0.25">
      <c r="A219" s="136" t="s">
        <v>288</v>
      </c>
      <c r="B219" s="1"/>
      <c r="C219" s="1"/>
      <c r="D219" s="1"/>
      <c r="E219" s="137" t="s">
        <v>93</v>
      </c>
      <c r="F219" s="51">
        <f>IFERROR(SUMIFS($H$31:$H$40,$E$31:$E$40,"=Biodiesel",$A$31:$A$40,"=Other - HP varies"),"")</f>
        <v>0</v>
      </c>
      <c r="G219" s="7"/>
      <c r="H219" s="218"/>
      <c r="I219" s="35"/>
      <c r="J219" s="7"/>
      <c r="K219" s="7"/>
      <c r="L219" s="7"/>
      <c r="M219" s="7"/>
      <c r="N219" s="7"/>
      <c r="O219" s="7"/>
      <c r="P219" s="7"/>
      <c r="Q219" s="7"/>
      <c r="R219" s="7"/>
      <c r="S219" s="7"/>
      <c r="T219" s="7"/>
      <c r="U219" s="7"/>
      <c r="V219" s="7"/>
      <c r="W219" s="7"/>
    </row>
    <row r="220" spans="1:51" x14ac:dyDescent="0.25">
      <c r="A220" s="142" t="s">
        <v>693</v>
      </c>
      <c r="B220" s="1"/>
      <c r="C220" s="1"/>
      <c r="D220" s="1"/>
      <c r="E220" s="137" t="s">
        <v>93</v>
      </c>
      <c r="F220" s="51">
        <f>IFERROR(SUMIF(E31:E40,"=biodiesel",H31:H40)+0.2*SUMIF(E31:E40,"=B20",H31:H40)-F219,"")</f>
        <v>0</v>
      </c>
      <c r="G220" s="7"/>
      <c r="H220" s="36"/>
      <c r="I220" s="35"/>
      <c r="J220" s="7"/>
      <c r="K220" s="7"/>
      <c r="L220" s="7"/>
      <c r="M220" s="7"/>
      <c r="N220" s="7"/>
      <c r="O220" s="7"/>
      <c r="P220" s="7"/>
      <c r="Q220" s="7"/>
      <c r="R220" s="7"/>
      <c r="S220" s="7"/>
      <c r="T220" s="7"/>
      <c r="U220" s="7"/>
      <c r="V220" s="7"/>
      <c r="W220" s="7"/>
    </row>
    <row r="221" spans="1:51" x14ac:dyDescent="0.25">
      <c r="A221" s="142" t="s">
        <v>292</v>
      </c>
      <c r="B221" s="1"/>
      <c r="C221" s="1"/>
      <c r="D221" s="1"/>
      <c r="E221" s="137" t="s">
        <v>140</v>
      </c>
      <c r="F221" s="51">
        <f>F169</f>
        <v>0</v>
      </c>
      <c r="G221" s="7"/>
      <c r="H221" s="36"/>
      <c r="I221" s="35"/>
      <c r="J221" s="7"/>
      <c r="K221" s="7"/>
      <c r="L221" s="7"/>
      <c r="M221" s="7"/>
      <c r="N221" s="7"/>
      <c r="O221" s="7"/>
      <c r="P221" s="7"/>
      <c r="Q221" s="7"/>
      <c r="R221" s="7"/>
      <c r="S221" s="7"/>
      <c r="T221" s="7"/>
      <c r="U221" s="7"/>
      <c r="V221" s="7"/>
      <c r="W221" s="7"/>
    </row>
    <row r="222" spans="1:51" x14ac:dyDescent="0.25">
      <c r="A222" s="142" t="s">
        <v>293</v>
      </c>
      <c r="B222" s="1"/>
      <c r="C222" s="1"/>
      <c r="D222" s="1"/>
      <c r="E222" s="137" t="s">
        <v>140</v>
      </c>
      <c r="F222" s="51">
        <f>F170</f>
        <v>0</v>
      </c>
      <c r="G222" s="7"/>
      <c r="H222" s="36"/>
      <c r="I222" s="35"/>
      <c r="J222" s="7"/>
      <c r="K222" s="7"/>
      <c r="L222" s="7"/>
      <c r="M222" s="7"/>
      <c r="N222" s="7"/>
      <c r="O222" s="7"/>
      <c r="P222" s="7"/>
      <c r="Q222" s="7"/>
      <c r="R222" s="7"/>
      <c r="S222" s="7"/>
      <c r="T222" s="7"/>
      <c r="U222" s="7"/>
      <c r="V222" s="7"/>
      <c r="W222" s="7"/>
    </row>
    <row r="223" spans="1:51" x14ac:dyDescent="0.25">
      <c r="A223" s="138"/>
      <c r="B223" s="1"/>
      <c r="C223" s="1"/>
      <c r="D223" s="1"/>
      <c r="E223" s="137"/>
      <c r="F223" s="51"/>
      <c r="G223" s="7"/>
      <c r="H223" s="218"/>
      <c r="I223" s="35"/>
      <c r="J223" s="7"/>
      <c r="K223" s="7"/>
      <c r="L223" s="7"/>
      <c r="M223" s="7"/>
      <c r="N223" s="7"/>
      <c r="O223" s="7"/>
      <c r="P223" s="7"/>
      <c r="Q223" s="7"/>
      <c r="R223" s="7"/>
      <c r="S223" s="7"/>
      <c r="T223" s="7"/>
      <c r="U223" s="7"/>
      <c r="V223" s="7"/>
      <c r="W223" s="7"/>
    </row>
    <row r="224" spans="1:51" x14ac:dyDescent="0.25">
      <c r="A224" s="141" t="s">
        <v>125</v>
      </c>
      <c r="B224" s="1"/>
      <c r="C224" s="1"/>
      <c r="D224" s="1"/>
      <c r="E224" s="137"/>
      <c r="F224" s="51"/>
      <c r="G224" s="7"/>
      <c r="H224" s="217"/>
      <c r="I224" s="35"/>
      <c r="J224" s="7"/>
      <c r="K224" s="7"/>
      <c r="L224" s="7"/>
      <c r="M224" s="7"/>
      <c r="N224" s="7"/>
      <c r="O224" s="7"/>
      <c r="P224" s="7"/>
      <c r="Q224" s="7"/>
      <c r="R224" s="7"/>
      <c r="S224" s="7"/>
      <c r="T224" s="7"/>
      <c r="U224" s="7"/>
      <c r="V224" s="7"/>
      <c r="W224" s="7"/>
    </row>
    <row r="225" spans="1:23" x14ac:dyDescent="0.25">
      <c r="A225" s="138" t="s">
        <v>153</v>
      </c>
      <c r="B225" s="1"/>
      <c r="C225" s="1"/>
      <c r="D225" s="1"/>
      <c r="E225" s="137" t="s">
        <v>135</v>
      </c>
      <c r="F225" s="51">
        <f>G68/1000</f>
        <v>0</v>
      </c>
      <c r="G225" s="7"/>
      <c r="H225" s="218"/>
      <c r="I225" s="35"/>
      <c r="J225" s="7"/>
      <c r="K225" s="7"/>
      <c r="L225" s="7"/>
      <c r="M225" s="7"/>
      <c r="N225" s="7"/>
      <c r="O225" s="7"/>
      <c r="P225" s="7"/>
      <c r="Q225" s="7"/>
      <c r="R225" s="7"/>
      <c r="S225" s="7"/>
      <c r="T225" s="7"/>
      <c r="U225" s="7"/>
      <c r="V225" s="7"/>
      <c r="W225" s="7"/>
    </row>
    <row r="226" spans="1:23" x14ac:dyDescent="0.25">
      <c r="A226" s="138" t="s">
        <v>688</v>
      </c>
      <c r="B226" s="1"/>
      <c r="C226" s="1"/>
      <c r="D226" s="1"/>
      <c r="E226" s="137" t="s">
        <v>137</v>
      </c>
      <c r="F226" s="51">
        <f>IFERROR(SUMIF($E$31:$E$40,"=diesel",$H$31:$H$40)+0.8*SUMIF($E$31:$E$40,"=B20",$H$31:$H$40),"")</f>
        <v>0</v>
      </c>
      <c r="G226" s="7"/>
      <c r="H226" s="218"/>
      <c r="I226" s="35"/>
      <c r="J226" s="7"/>
      <c r="K226" s="7"/>
      <c r="L226" s="7"/>
      <c r="M226" s="7"/>
      <c r="N226" s="7"/>
      <c r="O226" s="7"/>
      <c r="P226" s="7"/>
      <c r="Q226" s="7"/>
      <c r="R226" s="7"/>
      <c r="S226" s="7"/>
      <c r="T226" s="7"/>
      <c r="U226" s="7"/>
      <c r="V226" s="7"/>
      <c r="W226" s="7"/>
    </row>
    <row r="227" spans="1:23" x14ac:dyDescent="0.25">
      <c r="A227" s="138" t="s">
        <v>679</v>
      </c>
      <c r="B227" s="1"/>
      <c r="C227" s="1"/>
      <c r="D227" s="1"/>
      <c r="E227" s="137" t="s">
        <v>137</v>
      </c>
      <c r="F227" s="51">
        <f>IFERROR(SUMIF($E$31:$E$40,"=Diesel less than 75 hp",$H$31:$H$40),"")</f>
        <v>0</v>
      </c>
      <c r="G227" s="7" t="s">
        <v>283</v>
      </c>
      <c r="H227" s="218"/>
      <c r="I227" s="35"/>
      <c r="J227" s="7"/>
      <c r="K227" s="7"/>
      <c r="L227" s="7"/>
      <c r="M227" s="7"/>
      <c r="N227" s="7"/>
      <c r="O227" s="7"/>
      <c r="P227" s="7"/>
      <c r="Q227" s="7"/>
      <c r="R227" s="7"/>
      <c r="S227" s="7"/>
      <c r="T227" s="7"/>
      <c r="U227" s="7"/>
      <c r="V227" s="7"/>
      <c r="W227" s="7"/>
    </row>
    <row r="228" spans="1:23" x14ac:dyDescent="0.25">
      <c r="A228" s="138" t="s">
        <v>680</v>
      </c>
      <c r="B228" s="1"/>
      <c r="C228" s="1"/>
      <c r="D228" s="1"/>
      <c r="E228" s="137" t="s">
        <v>137</v>
      </c>
      <c r="F228" s="51">
        <f>IFERROR(SUMIF($E$31:$E$40,"=Diesel between 75 and 750 hp",$H$31:$H$40),"")</f>
        <v>0</v>
      </c>
      <c r="G228" s="7"/>
      <c r="H228" s="218"/>
      <c r="I228" s="35"/>
      <c r="J228" s="7"/>
      <c r="K228" s="7"/>
      <c r="L228" s="7"/>
      <c r="M228" s="7"/>
      <c r="N228" s="7"/>
      <c r="O228" s="7"/>
      <c r="P228" s="7"/>
      <c r="Q228" s="7"/>
      <c r="R228" s="7"/>
      <c r="S228" s="7"/>
      <c r="T228" s="7"/>
      <c r="U228" s="7"/>
      <c r="V228" s="7"/>
      <c r="W228" s="7"/>
    </row>
    <row r="229" spans="1:23" x14ac:dyDescent="0.25">
      <c r="A229" s="138" t="s">
        <v>681</v>
      </c>
      <c r="B229" s="1"/>
      <c r="C229" s="1"/>
      <c r="D229" s="1"/>
      <c r="E229" s="137" t="s">
        <v>137</v>
      </c>
      <c r="F229" s="51">
        <f>IFERROR(SUMIF($E$31:$E$40,"=Diesel greater than 750 hp",$H$31:$H$40),"")</f>
        <v>0</v>
      </c>
      <c r="G229" s="7"/>
      <c r="H229" s="218"/>
      <c r="I229" s="35"/>
      <c r="J229" s="7"/>
      <c r="K229" s="7"/>
      <c r="L229" s="7"/>
      <c r="M229" s="7"/>
      <c r="N229" s="7"/>
      <c r="O229" s="7"/>
      <c r="P229" s="7"/>
      <c r="Q229" s="7"/>
      <c r="R229" s="7"/>
      <c r="S229" s="7"/>
      <c r="T229" s="7"/>
      <c r="U229" s="7"/>
      <c r="V229" s="7"/>
      <c r="W229" s="7"/>
    </row>
    <row r="230" spans="1:23" x14ac:dyDescent="0.25">
      <c r="A230" s="138" t="s">
        <v>689</v>
      </c>
      <c r="B230" s="1"/>
      <c r="C230" s="1"/>
      <c r="D230" s="1"/>
      <c r="E230" s="137" t="s">
        <v>137</v>
      </c>
      <c r="F230" s="51">
        <f>IFERROR(SUMIF($E$31:$E$40,"=gasoline",$H$31:$H$40),"")</f>
        <v>0</v>
      </c>
      <c r="G230" s="7"/>
      <c r="H230" s="218"/>
      <c r="I230" s="35"/>
      <c r="J230" s="7"/>
      <c r="K230" s="7"/>
      <c r="L230" s="7"/>
      <c r="M230" s="7"/>
      <c r="N230" s="7"/>
      <c r="O230" s="7"/>
      <c r="P230" s="7"/>
      <c r="Q230" s="7"/>
      <c r="R230" s="7"/>
      <c r="S230" s="7"/>
      <c r="T230" s="7"/>
      <c r="U230" s="7"/>
      <c r="V230" s="7"/>
      <c r="W230" s="7"/>
    </row>
    <row r="231" spans="1:23" x14ac:dyDescent="0.25">
      <c r="A231" s="138" t="s">
        <v>682</v>
      </c>
      <c r="B231" s="1"/>
      <c r="C231" s="1"/>
      <c r="D231" s="1"/>
      <c r="E231" s="137" t="s">
        <v>137</v>
      </c>
      <c r="F231" s="51">
        <f>IFERROR(SUMIF($E$31:$E$40,"=Gasoline &lt;25 hp",$H$31:$H$40),"")</f>
        <v>0</v>
      </c>
      <c r="G231" s="7"/>
      <c r="H231" s="218"/>
      <c r="I231" s="35"/>
      <c r="J231" s="7"/>
      <c r="K231" s="7"/>
      <c r="L231" s="7"/>
      <c r="M231" s="7"/>
      <c r="N231" s="7"/>
      <c r="O231" s="7"/>
      <c r="P231" s="7"/>
      <c r="Q231" s="7"/>
      <c r="R231" s="7"/>
      <c r="S231" s="7"/>
      <c r="T231" s="7"/>
      <c r="U231" s="7"/>
      <c r="V231" s="7"/>
      <c r="W231" s="7"/>
    </row>
    <row r="232" spans="1:23" x14ac:dyDescent="0.25">
      <c r="A232" s="138" t="s">
        <v>683</v>
      </c>
      <c r="B232" s="1"/>
      <c r="C232" s="1"/>
      <c r="D232" s="1"/>
      <c r="E232" s="137" t="s">
        <v>137</v>
      </c>
      <c r="F232" s="51">
        <f>IFERROR(SUMIF($E$31:$E$40,"=Gasoline &gt;25 hp",$H$31:$H$40),"")</f>
        <v>0</v>
      </c>
      <c r="G232" s="7"/>
      <c r="H232" s="218"/>
      <c r="I232" s="35"/>
      <c r="J232" s="7"/>
      <c r="K232" s="7"/>
      <c r="L232" s="7"/>
      <c r="M232" s="7"/>
      <c r="N232" s="7"/>
      <c r="O232" s="7"/>
      <c r="P232" s="7"/>
      <c r="Q232" s="7"/>
      <c r="R232" s="7"/>
      <c r="S232" s="7"/>
      <c r="T232" s="7"/>
      <c r="U232" s="7"/>
      <c r="V232" s="7"/>
      <c r="W232" s="7"/>
    </row>
    <row r="233" spans="1:23" x14ac:dyDescent="0.25">
      <c r="A233" s="138" t="s">
        <v>291</v>
      </c>
      <c r="B233" s="1"/>
      <c r="C233" s="1"/>
      <c r="D233" s="1"/>
      <c r="E233" s="137" t="s">
        <v>138</v>
      </c>
      <c r="F233" s="51">
        <f>R57</f>
        <v>0</v>
      </c>
      <c r="G233" s="7"/>
      <c r="H233" s="218"/>
      <c r="I233" s="35"/>
      <c r="J233" s="7"/>
      <c r="K233" s="7"/>
      <c r="L233" s="7"/>
      <c r="M233" s="7"/>
      <c r="N233" s="7"/>
      <c r="O233" s="7"/>
      <c r="P233" s="7"/>
      <c r="Q233" s="7"/>
      <c r="R233" s="7"/>
      <c r="S233" s="7"/>
      <c r="T233" s="7"/>
      <c r="U233" s="7"/>
      <c r="V233" s="7"/>
      <c r="W233" s="7"/>
    </row>
    <row r="234" spans="1:23" x14ac:dyDescent="0.25">
      <c r="A234" s="138" t="s">
        <v>691</v>
      </c>
      <c r="B234" s="1"/>
      <c r="C234" s="1"/>
      <c r="D234" s="1"/>
      <c r="E234" s="137" t="s">
        <v>138</v>
      </c>
      <c r="F234" s="51">
        <f>IFERROR(SUMIFS($H$31:$H$40,$E$31:$E$40,"=Compressed natural gas",$A$31:$A$40,"=Other - HP varies"),"")</f>
        <v>0</v>
      </c>
      <c r="G234" s="7"/>
      <c r="H234" s="218"/>
      <c r="I234" s="35"/>
      <c r="J234" s="7"/>
      <c r="K234" s="7"/>
      <c r="L234" s="7"/>
      <c r="M234" s="7"/>
      <c r="N234" s="7"/>
      <c r="O234" s="7"/>
      <c r="P234" s="7"/>
      <c r="Q234" s="7"/>
      <c r="R234" s="7"/>
      <c r="S234" s="7"/>
      <c r="T234" s="7"/>
      <c r="U234" s="7"/>
      <c r="V234" s="7"/>
      <c r="W234" s="7"/>
    </row>
    <row r="235" spans="1:23" x14ac:dyDescent="0.25">
      <c r="A235" s="138" t="s">
        <v>690</v>
      </c>
      <c r="B235" s="1"/>
      <c r="C235" s="1"/>
      <c r="D235" s="1"/>
      <c r="E235" s="137" t="s">
        <v>138</v>
      </c>
      <c r="F235" s="51">
        <f>IFERROR(SUMIF($E$31:$E$40,"=Compressed natural gas",$H$31:$H$40)-F234,"")</f>
        <v>0</v>
      </c>
      <c r="G235" s="7"/>
      <c r="H235" s="218"/>
      <c r="I235" s="35"/>
      <c r="J235" s="7"/>
      <c r="K235" s="7"/>
      <c r="L235" s="7"/>
      <c r="M235" s="7"/>
      <c r="N235" s="7"/>
      <c r="O235" s="7"/>
      <c r="P235" s="7"/>
      <c r="Q235" s="7"/>
      <c r="R235" s="7"/>
      <c r="S235" s="7"/>
      <c r="T235" s="7"/>
      <c r="U235" s="7"/>
      <c r="V235" s="7"/>
      <c r="W235" s="7"/>
    </row>
    <row r="236" spans="1:23" x14ac:dyDescent="0.25">
      <c r="A236" s="138" t="s">
        <v>712</v>
      </c>
      <c r="B236" s="1"/>
      <c r="C236" s="1"/>
      <c r="D236" s="1"/>
      <c r="E236" s="137" t="s">
        <v>93</v>
      </c>
      <c r="F236" s="51">
        <f>IFERROR(SUMIFS($H$31:$H$40,$E$31:$E$40,"=Liquified petroleum gas",$A$31:$A$40,"=Other - HP varies"),"")</f>
        <v>0</v>
      </c>
      <c r="G236" s="7"/>
      <c r="H236" s="218"/>
      <c r="I236" s="35"/>
      <c r="J236" s="7"/>
      <c r="K236" s="7"/>
      <c r="L236" s="7"/>
      <c r="M236" s="7"/>
      <c r="N236" s="7"/>
      <c r="O236" s="7"/>
      <c r="P236" s="7"/>
      <c r="Q236" s="7"/>
      <c r="R236" s="7"/>
      <c r="S236" s="7"/>
      <c r="T236" s="7"/>
      <c r="U236" s="7"/>
      <c r="V236" s="7"/>
      <c r="W236" s="7"/>
    </row>
    <row r="237" spans="1:23" x14ac:dyDescent="0.25">
      <c r="A237" s="138" t="s">
        <v>692</v>
      </c>
      <c r="B237" s="1"/>
      <c r="C237" s="1"/>
      <c r="D237" s="1"/>
      <c r="E237" s="137" t="s">
        <v>93</v>
      </c>
      <c r="F237" s="51">
        <f>IFERROR(SUMIF($E$31:$E$40,"=Liquified petroleum gas",$H$31:$H$40)-F236,"")</f>
        <v>0</v>
      </c>
      <c r="G237" s="7"/>
      <c r="H237" s="218"/>
      <c r="I237" s="35"/>
      <c r="J237" s="7"/>
      <c r="K237" s="7"/>
      <c r="L237" s="7"/>
      <c r="M237" s="7"/>
      <c r="N237" s="7"/>
      <c r="O237" s="7"/>
      <c r="P237" s="7"/>
      <c r="Q237" s="7"/>
      <c r="R237" s="7"/>
      <c r="S237" s="7"/>
      <c r="T237" s="7"/>
      <c r="U237" s="7"/>
      <c r="V237" s="7"/>
      <c r="W237" s="7"/>
    </row>
    <row r="238" spans="1:23" x14ac:dyDescent="0.25">
      <c r="A238" s="138" t="s">
        <v>289</v>
      </c>
      <c r="B238" s="1"/>
      <c r="C238" s="1"/>
      <c r="D238" s="1"/>
      <c r="E238" s="137" t="s">
        <v>140</v>
      </c>
      <c r="F238" s="51">
        <f>F150</f>
        <v>0</v>
      </c>
      <c r="G238" s="7"/>
      <c r="H238" s="218"/>
      <c r="I238" s="35"/>
      <c r="J238" s="7"/>
      <c r="K238" s="7"/>
      <c r="L238" s="7"/>
      <c r="M238" s="7"/>
      <c r="N238" s="7"/>
      <c r="O238" s="7"/>
      <c r="P238" s="7"/>
      <c r="Q238" s="7"/>
      <c r="R238" s="7"/>
      <c r="S238" s="7"/>
      <c r="T238" s="7"/>
      <c r="U238" s="7"/>
      <c r="V238" s="7"/>
      <c r="W238" s="7"/>
    </row>
    <row r="239" spans="1:23" x14ac:dyDescent="0.25">
      <c r="A239" s="138" t="s">
        <v>290</v>
      </c>
      <c r="B239" s="1"/>
      <c r="C239" s="1"/>
      <c r="D239" s="1"/>
      <c r="E239" s="137" t="s">
        <v>140</v>
      </c>
      <c r="F239" s="51">
        <f>F151</f>
        <v>0</v>
      </c>
      <c r="G239" s="7"/>
      <c r="H239" s="218"/>
      <c r="I239" s="35"/>
      <c r="J239" s="7"/>
      <c r="K239" s="7"/>
      <c r="L239" s="7"/>
      <c r="M239" s="7"/>
      <c r="N239" s="7"/>
      <c r="O239" s="7"/>
      <c r="P239" s="7"/>
      <c r="Q239" s="7"/>
      <c r="R239" s="7"/>
      <c r="S239" s="7"/>
      <c r="T239" s="7"/>
      <c r="U239" s="7"/>
      <c r="V239" s="7"/>
      <c r="W239" s="7"/>
    </row>
    <row r="240" spans="1:23" x14ac:dyDescent="0.25">
      <c r="A240" s="138"/>
      <c r="B240" s="1"/>
      <c r="C240" s="1"/>
      <c r="D240" s="1"/>
      <c r="E240" s="137"/>
      <c r="F240" s="51"/>
      <c r="G240" s="7"/>
      <c r="H240" s="218"/>
      <c r="I240" s="35"/>
      <c r="J240" s="7"/>
      <c r="K240" s="7"/>
      <c r="L240" s="7"/>
      <c r="M240" s="7"/>
      <c r="N240" s="7"/>
      <c r="O240" s="7"/>
      <c r="P240" s="7"/>
      <c r="Q240" s="7"/>
      <c r="R240" s="7"/>
      <c r="S240" s="7"/>
      <c r="T240" s="7"/>
      <c r="U240" s="7"/>
      <c r="V240" s="7"/>
      <c r="W240" s="7"/>
    </row>
    <row r="241" spans="1:23" x14ac:dyDescent="0.25">
      <c r="A241" s="141" t="s">
        <v>126</v>
      </c>
      <c r="B241" s="1"/>
      <c r="C241" s="1"/>
      <c r="D241" s="1"/>
      <c r="E241" s="137"/>
      <c r="F241" s="51"/>
      <c r="G241" s="7"/>
      <c r="H241" s="217"/>
      <c r="I241" s="35"/>
      <c r="J241" s="7"/>
      <c r="K241" s="7"/>
      <c r="L241" s="7"/>
      <c r="M241" s="7"/>
      <c r="N241" s="7"/>
      <c r="O241" s="7"/>
      <c r="P241" s="7"/>
      <c r="Q241" s="7"/>
      <c r="R241" s="7"/>
      <c r="S241" s="7"/>
      <c r="T241" s="7"/>
      <c r="U241" s="7"/>
      <c r="V241" s="7"/>
      <c r="W241" s="7"/>
    </row>
    <row r="242" spans="1:23" x14ac:dyDescent="0.25">
      <c r="A242" s="138" t="s">
        <v>53</v>
      </c>
      <c r="B242" s="1"/>
      <c r="C242" s="1"/>
      <c r="D242" s="1"/>
      <c r="E242" s="137" t="s">
        <v>139</v>
      </c>
      <c r="F242" s="51">
        <f t="shared" ref="F242:F248" si="14">F152</f>
        <v>0</v>
      </c>
      <c r="G242" s="7"/>
      <c r="H242" s="218"/>
      <c r="I242" s="35"/>
      <c r="J242" s="7"/>
      <c r="K242" s="7"/>
      <c r="L242" s="7"/>
      <c r="M242" s="7"/>
      <c r="N242" s="7"/>
      <c r="O242" s="7"/>
      <c r="P242" s="7"/>
      <c r="Q242" s="7"/>
      <c r="R242" s="7"/>
      <c r="S242" s="7"/>
      <c r="T242" s="7"/>
      <c r="U242" s="7"/>
      <c r="V242" s="7"/>
      <c r="W242" s="7"/>
    </row>
    <row r="243" spans="1:23" x14ac:dyDescent="0.25">
      <c r="A243" s="138" t="s">
        <v>54</v>
      </c>
      <c r="B243" s="1"/>
      <c r="C243" s="1"/>
      <c r="D243" s="1"/>
      <c r="E243" s="137" t="s">
        <v>139</v>
      </c>
      <c r="F243" s="51">
        <f t="shared" si="14"/>
        <v>0</v>
      </c>
      <c r="G243" s="7"/>
      <c r="H243" s="218"/>
      <c r="I243" s="35"/>
      <c r="J243" s="7"/>
      <c r="K243" s="7"/>
      <c r="L243" s="7"/>
      <c r="M243" s="7"/>
      <c r="N243" s="7"/>
      <c r="O243" s="7"/>
      <c r="P243" s="7"/>
      <c r="Q243" s="7"/>
      <c r="R243" s="7"/>
      <c r="S243" s="7"/>
      <c r="T243" s="7"/>
      <c r="U243" s="7"/>
      <c r="V243" s="7"/>
      <c r="W243" s="7"/>
    </row>
    <row r="244" spans="1:23" x14ac:dyDescent="0.25">
      <c r="A244" s="138" t="s">
        <v>55</v>
      </c>
      <c r="B244" s="1"/>
      <c r="C244" s="1"/>
      <c r="D244" s="1"/>
      <c r="E244" s="137" t="s">
        <v>139</v>
      </c>
      <c r="F244" s="51">
        <f t="shared" si="14"/>
        <v>0</v>
      </c>
      <c r="G244" s="7"/>
      <c r="H244" s="218"/>
      <c r="I244" s="35"/>
      <c r="J244" s="7"/>
      <c r="K244" s="7"/>
      <c r="L244" s="7"/>
      <c r="M244" s="7"/>
      <c r="N244" s="7"/>
      <c r="O244" s="7"/>
      <c r="P244" s="7"/>
      <c r="Q244" s="7"/>
      <c r="R244" s="7"/>
      <c r="S244" s="7"/>
      <c r="T244" s="7"/>
      <c r="U244" s="7"/>
      <c r="V244" s="7"/>
      <c r="W244" s="7"/>
    </row>
    <row r="245" spans="1:23" x14ac:dyDescent="0.25">
      <c r="A245" s="138" t="s">
        <v>56</v>
      </c>
      <c r="B245" s="1"/>
      <c r="C245" s="1"/>
      <c r="D245" s="1"/>
      <c r="E245" s="137" t="s">
        <v>139</v>
      </c>
      <c r="F245" s="51">
        <f t="shared" si="14"/>
        <v>0</v>
      </c>
      <c r="G245" s="7"/>
      <c r="H245" s="218"/>
      <c r="I245" s="35"/>
      <c r="J245" s="7"/>
      <c r="K245" s="7"/>
      <c r="L245" s="7"/>
      <c r="M245" s="7"/>
      <c r="N245" s="7"/>
      <c r="O245" s="7"/>
      <c r="P245" s="7"/>
      <c r="Q245" s="7"/>
      <c r="R245" s="7"/>
      <c r="S245" s="7"/>
      <c r="T245" s="7"/>
      <c r="U245" s="7"/>
      <c r="V245" s="7"/>
      <c r="W245" s="7"/>
    </row>
    <row r="246" spans="1:23" x14ac:dyDescent="0.25">
      <c r="A246" s="136" t="s">
        <v>96</v>
      </c>
      <c r="B246" s="1"/>
      <c r="C246" s="1"/>
      <c r="D246" s="1"/>
      <c r="E246" s="137" t="s">
        <v>139</v>
      </c>
      <c r="F246" s="51">
        <f t="shared" si="14"/>
        <v>0</v>
      </c>
      <c r="G246" s="7"/>
      <c r="H246" s="218"/>
      <c r="I246" s="35"/>
      <c r="J246" s="7"/>
      <c r="K246" s="7"/>
      <c r="L246" s="7"/>
      <c r="M246" s="7"/>
      <c r="N246" s="7"/>
      <c r="O246" s="7"/>
      <c r="P246" s="7"/>
      <c r="Q246" s="7"/>
      <c r="R246" s="7"/>
      <c r="S246" s="7"/>
      <c r="T246" s="7"/>
      <c r="U246" s="7"/>
      <c r="V246" s="7"/>
      <c r="W246" s="7"/>
    </row>
    <row r="247" spans="1:23" x14ac:dyDescent="0.25">
      <c r="A247" s="136" t="s">
        <v>97</v>
      </c>
      <c r="B247" s="1"/>
      <c r="C247" s="1"/>
      <c r="D247" s="1"/>
      <c r="E247" s="137" t="s">
        <v>139</v>
      </c>
      <c r="F247" s="51">
        <f t="shared" si="14"/>
        <v>0</v>
      </c>
      <c r="G247" s="7"/>
      <c r="H247" s="218"/>
      <c r="I247" s="35"/>
      <c r="J247" s="7"/>
      <c r="K247" s="7"/>
      <c r="L247" s="7"/>
      <c r="M247" s="7"/>
      <c r="N247" s="7"/>
      <c r="O247" s="7"/>
      <c r="P247" s="7"/>
      <c r="Q247" s="7"/>
      <c r="R247" s="7"/>
      <c r="S247" s="7"/>
      <c r="T247" s="7"/>
      <c r="U247" s="7"/>
      <c r="V247" s="7"/>
      <c r="W247" s="7"/>
    </row>
    <row r="248" spans="1:23" x14ac:dyDescent="0.25">
      <c r="A248" s="136" t="s">
        <v>98</v>
      </c>
      <c r="B248" s="1"/>
      <c r="C248" s="1"/>
      <c r="D248" s="1"/>
      <c r="E248" s="137" t="s">
        <v>139</v>
      </c>
      <c r="F248" s="51">
        <f t="shared" si="14"/>
        <v>0</v>
      </c>
      <c r="G248" s="7"/>
      <c r="H248" s="218"/>
      <c r="I248" s="35"/>
      <c r="J248" s="7"/>
      <c r="K248" s="7"/>
      <c r="L248" s="7"/>
      <c r="M248" s="7"/>
      <c r="N248" s="7"/>
      <c r="O248" s="7"/>
      <c r="P248" s="7"/>
      <c r="Q248" s="7"/>
      <c r="R248" s="7"/>
      <c r="S248" s="7"/>
      <c r="T248" s="7"/>
      <c r="U248" s="7"/>
      <c r="V248" s="7"/>
      <c r="W248" s="7"/>
    </row>
    <row r="249" spans="1:23" x14ac:dyDescent="0.25">
      <c r="A249" s="56"/>
      <c r="B249" s="1"/>
      <c r="C249" s="1"/>
      <c r="D249" s="1"/>
      <c r="E249" s="124"/>
      <c r="F249" s="51"/>
      <c r="G249" s="7"/>
      <c r="H249" s="337"/>
      <c r="I249" s="337"/>
      <c r="J249" s="7"/>
      <c r="K249" s="7"/>
      <c r="L249" s="7"/>
      <c r="M249" s="7"/>
      <c r="N249" s="7"/>
      <c r="O249" s="7"/>
      <c r="P249" s="7"/>
      <c r="Q249" s="7"/>
      <c r="R249" s="7"/>
      <c r="S249" s="7"/>
      <c r="T249" s="7"/>
      <c r="U249" s="7"/>
      <c r="V249" s="7"/>
      <c r="W249" s="7"/>
    </row>
    <row r="250" spans="1:23" x14ac:dyDescent="0.25">
      <c r="A250" s="139" t="s">
        <v>51</v>
      </c>
      <c r="B250" s="1"/>
      <c r="C250" s="1"/>
      <c r="D250" s="1"/>
      <c r="E250" s="137"/>
      <c r="F250" s="51"/>
      <c r="G250" s="7"/>
      <c r="H250" s="219"/>
      <c r="I250" s="35"/>
      <c r="J250" s="7"/>
      <c r="K250" s="7"/>
      <c r="L250" s="7"/>
      <c r="M250" s="7"/>
      <c r="N250" s="7"/>
      <c r="O250" s="7"/>
      <c r="P250" s="7"/>
      <c r="Q250" s="7"/>
      <c r="R250" s="7"/>
      <c r="S250" s="7"/>
      <c r="T250" s="7"/>
      <c r="U250" s="7"/>
      <c r="V250" s="7"/>
      <c r="W250" s="7"/>
    </row>
    <row r="251" spans="1:23" x14ac:dyDescent="0.25">
      <c r="A251" s="138" t="s">
        <v>153</v>
      </c>
      <c r="B251" s="1"/>
      <c r="C251" s="1"/>
      <c r="D251" s="1"/>
      <c r="E251" s="137" t="s">
        <v>135</v>
      </c>
      <c r="F251" s="51">
        <f>G68/1000</f>
        <v>0</v>
      </c>
      <c r="G251" s="7"/>
      <c r="H251" s="218"/>
      <c r="I251" s="35"/>
      <c r="J251" s="7"/>
      <c r="K251" s="7"/>
      <c r="L251" s="7"/>
      <c r="M251" s="7"/>
      <c r="N251" s="7"/>
      <c r="O251" s="7"/>
      <c r="P251" s="7"/>
      <c r="Q251" s="7"/>
      <c r="R251" s="7"/>
      <c r="S251" s="7"/>
      <c r="T251" s="7"/>
      <c r="U251" s="7"/>
      <c r="V251" s="7"/>
      <c r="W251" s="7"/>
    </row>
    <row r="252" spans="1:23" x14ac:dyDescent="0.25">
      <c r="A252" s="138" t="s">
        <v>151</v>
      </c>
      <c r="B252" s="1"/>
      <c r="C252" s="1"/>
      <c r="D252" s="1"/>
      <c r="E252" s="137" t="s">
        <v>135</v>
      </c>
      <c r="F252" s="51">
        <f>F173</f>
        <v>0</v>
      </c>
      <c r="G252" s="7"/>
      <c r="H252" s="218"/>
      <c r="I252" s="35"/>
      <c r="J252" s="7"/>
      <c r="K252" s="7"/>
      <c r="L252" s="7"/>
      <c r="M252" s="7"/>
      <c r="N252" s="7"/>
      <c r="O252" s="7"/>
      <c r="P252" s="7"/>
      <c r="Q252" s="7"/>
      <c r="R252" s="7"/>
      <c r="S252" s="7"/>
      <c r="T252" s="7"/>
      <c r="U252" s="7"/>
      <c r="V252" s="7"/>
      <c r="W252" s="7"/>
    </row>
    <row r="253" spans="1:23" x14ac:dyDescent="0.25">
      <c r="A253" s="138" t="s">
        <v>152</v>
      </c>
      <c r="B253" s="1"/>
      <c r="C253" s="1"/>
      <c r="D253" s="1"/>
      <c r="E253" s="137" t="s">
        <v>135</v>
      </c>
      <c r="F253" s="51">
        <f>F174</f>
        <v>0</v>
      </c>
      <c r="G253" s="7"/>
      <c r="H253" s="218"/>
      <c r="I253" s="35"/>
      <c r="J253" s="7"/>
      <c r="K253" s="7"/>
      <c r="L253" s="7"/>
      <c r="M253" s="7"/>
      <c r="N253" s="7"/>
      <c r="O253" s="7"/>
      <c r="P253" s="7"/>
      <c r="Q253" s="7"/>
      <c r="R253" s="7"/>
      <c r="S253" s="7"/>
      <c r="T253" s="7"/>
      <c r="U253" s="7"/>
      <c r="V253" s="7"/>
      <c r="W253" s="7"/>
    </row>
    <row r="254" spans="1:23" x14ac:dyDescent="0.25">
      <c r="A254" s="138"/>
      <c r="B254" s="1"/>
      <c r="C254" s="1"/>
      <c r="D254" s="1"/>
      <c r="E254" s="137"/>
      <c r="F254" s="51"/>
      <c r="G254" s="7"/>
      <c r="H254" s="218"/>
      <c r="I254" s="35"/>
      <c r="J254" s="7"/>
      <c r="K254" s="7"/>
      <c r="L254" s="7"/>
      <c r="M254" s="7"/>
      <c r="N254" s="7"/>
      <c r="O254" s="7"/>
      <c r="P254" s="7"/>
      <c r="Q254" s="7"/>
      <c r="R254" s="7"/>
      <c r="S254" s="7"/>
      <c r="T254" s="7"/>
      <c r="U254" s="7"/>
      <c r="V254" s="7"/>
      <c r="W254" s="7"/>
    </row>
    <row r="255" spans="1:23" ht="14.45" customHeight="1" x14ac:dyDescent="0.25">
      <c r="A255" s="140" t="s">
        <v>230</v>
      </c>
      <c r="B255" s="1"/>
      <c r="C255" s="1"/>
      <c r="D255" s="1"/>
      <c r="E255" s="137"/>
      <c r="F255" s="51"/>
      <c r="G255" s="7"/>
      <c r="H255" s="218"/>
      <c r="I255" s="35"/>
      <c r="J255" s="7"/>
      <c r="K255" s="7"/>
      <c r="L255" s="7"/>
      <c r="M255" s="7"/>
      <c r="N255" s="7"/>
      <c r="O255" s="7"/>
      <c r="P255" s="7"/>
      <c r="Q255" s="7"/>
      <c r="R255" s="7"/>
      <c r="S255" s="7"/>
      <c r="T255" s="7"/>
      <c r="U255" s="7"/>
      <c r="V255" s="7"/>
      <c r="W255" s="7"/>
    </row>
    <row r="256" spans="1:23" ht="14.45" customHeight="1" x14ac:dyDescent="0.25">
      <c r="A256" s="1" t="s">
        <v>235</v>
      </c>
      <c r="B256" s="1"/>
      <c r="C256" s="1"/>
      <c r="D256" s="1"/>
      <c r="E256" s="51" t="s">
        <v>93</v>
      </c>
      <c r="F256" s="51">
        <f>IFERROR(SUMIF(G16:G26,"=biodiesel",K16:K26)+0.2*SUMIF(G16:G26,"=B20",K16:K26)-F257,"")</f>
        <v>0</v>
      </c>
      <c r="G256" s="7"/>
      <c r="H256" s="219"/>
      <c r="I256" s="35"/>
      <c r="J256" s="7"/>
      <c r="K256" s="7"/>
      <c r="L256" s="7"/>
      <c r="M256" s="7"/>
      <c r="N256" s="7"/>
      <c r="O256" s="7"/>
      <c r="P256" s="7"/>
      <c r="Q256" s="7"/>
      <c r="R256" s="7"/>
      <c r="S256" s="7"/>
      <c r="T256" s="7"/>
      <c r="U256" s="7"/>
      <c r="V256" s="7"/>
      <c r="W256" s="7"/>
    </row>
    <row r="257" spans="1:23" ht="14.45" customHeight="1" x14ac:dyDescent="0.25">
      <c r="A257" s="1" t="s">
        <v>677</v>
      </c>
      <c r="B257" s="1"/>
      <c r="C257" s="1"/>
      <c r="D257" s="1"/>
      <c r="E257" s="51" t="s">
        <v>93</v>
      </c>
      <c r="F257" s="51">
        <f>IFERROR(SUMIFS(K16:K26,G16:G26,"=biodiesel",E16:E26,"User Defined*"),"")</f>
        <v>0</v>
      </c>
      <c r="G257" s="7"/>
      <c r="H257" s="219"/>
      <c r="I257" s="35"/>
      <c r="J257" s="7"/>
      <c r="K257" s="7"/>
      <c r="L257" s="7"/>
      <c r="M257" s="7"/>
      <c r="N257" s="7"/>
      <c r="O257" s="7"/>
      <c r="P257" s="7"/>
      <c r="Q257" s="7"/>
      <c r="R257" s="7"/>
      <c r="S257" s="7"/>
      <c r="T257" s="7"/>
      <c r="U257" s="7"/>
      <c r="V257" s="7"/>
      <c r="W257" s="7"/>
    </row>
    <row r="258" spans="1:23" ht="14.45" customHeight="1" x14ac:dyDescent="0.25">
      <c r="A258" s="1" t="s">
        <v>236</v>
      </c>
      <c r="B258" s="1"/>
      <c r="C258" s="1"/>
      <c r="D258" s="1"/>
      <c r="E258" s="51" t="s">
        <v>93</v>
      </c>
      <c r="F258" s="51">
        <f>IFERROR(SUMIF(N31:N40,"=biodiesel",Q31:Q40)+0.2*SUMIF(N31:N40,"=B20",Q31:Q40)-F259,"")</f>
        <v>0</v>
      </c>
      <c r="G258" s="7"/>
      <c r="H258" s="219"/>
      <c r="I258" s="38"/>
      <c r="J258" s="7"/>
      <c r="K258" s="7"/>
      <c r="L258" s="7"/>
      <c r="M258" s="7"/>
      <c r="N258" s="7"/>
      <c r="O258" s="7"/>
      <c r="P258" s="7"/>
      <c r="Q258" s="7"/>
      <c r="R258" s="7"/>
      <c r="S258" s="7"/>
      <c r="T258" s="7"/>
      <c r="U258" s="7"/>
      <c r="V258" s="7"/>
      <c r="W258" s="7"/>
    </row>
    <row r="259" spans="1:23" ht="14.45" customHeight="1" x14ac:dyDescent="0.25">
      <c r="A259" s="1" t="s">
        <v>713</v>
      </c>
      <c r="B259" s="1"/>
      <c r="C259" s="1"/>
      <c r="D259" s="1"/>
      <c r="E259" s="51" t="s">
        <v>93</v>
      </c>
      <c r="F259" s="51">
        <f>IFERROR(SUMIFS(O31:O40,N31:N40,"=biodiesel",M31:M40,"User Defined*"),"")</f>
        <v>0</v>
      </c>
      <c r="G259" s="7"/>
      <c r="H259" s="219"/>
      <c r="I259" s="38"/>
      <c r="J259" s="7"/>
      <c r="K259" s="7"/>
      <c r="L259" s="7"/>
      <c r="M259" s="7"/>
      <c r="N259" s="7"/>
      <c r="O259" s="7"/>
      <c r="P259" s="7"/>
      <c r="Q259" s="7"/>
      <c r="R259" s="7"/>
      <c r="S259" s="7"/>
      <c r="T259" s="7"/>
      <c r="U259" s="7"/>
      <c r="V259" s="7"/>
      <c r="W259" s="7"/>
    </row>
    <row r="260" spans="1:23" ht="14.45" customHeight="1" x14ac:dyDescent="0.25">
      <c r="A260" s="1" t="s">
        <v>237</v>
      </c>
      <c r="B260" s="1"/>
      <c r="C260" s="1"/>
      <c r="D260" s="1"/>
      <c r="E260" s="51" t="s">
        <v>93</v>
      </c>
      <c r="F260" s="51">
        <f>IFERROR(SUMIF(O74:O91,"=biodiesel",R74:R91)+0.2*SUMIF(O74:O91,"=B20",R74:R91)-F261,"")</f>
        <v>0</v>
      </c>
      <c r="G260" s="7"/>
      <c r="H260" s="219"/>
      <c r="I260" s="38"/>
      <c r="J260" s="7"/>
      <c r="K260" s="7"/>
      <c r="L260" s="7"/>
      <c r="M260" s="7"/>
      <c r="N260" s="7"/>
      <c r="O260" s="7"/>
      <c r="P260" s="7"/>
      <c r="Q260" s="7"/>
      <c r="R260" s="7"/>
      <c r="S260" s="7"/>
      <c r="T260" s="7"/>
      <c r="U260" s="7"/>
      <c r="V260" s="7"/>
      <c r="W260" s="7"/>
    </row>
    <row r="261" spans="1:23" ht="14.45" customHeight="1" x14ac:dyDescent="0.25">
      <c r="A261" s="1" t="s">
        <v>714</v>
      </c>
      <c r="B261" s="1"/>
      <c r="C261" s="1"/>
      <c r="D261" s="1"/>
      <c r="E261" s="51" t="s">
        <v>93</v>
      </c>
      <c r="F261" s="51">
        <f>IFERROR(SUMIFS(R31:R40,O31:O40,"=biodiesel",N31:N40,"User Defined*"),"")</f>
        <v>0</v>
      </c>
      <c r="G261" s="7"/>
      <c r="H261" s="219"/>
      <c r="I261" s="38"/>
      <c r="J261" s="7"/>
      <c r="K261" s="7"/>
      <c r="L261" s="7"/>
      <c r="M261" s="7"/>
      <c r="N261" s="7"/>
      <c r="O261" s="7"/>
      <c r="P261" s="7"/>
      <c r="Q261" s="7"/>
      <c r="R261" s="7"/>
      <c r="S261" s="7"/>
      <c r="T261" s="7"/>
      <c r="U261" s="7"/>
      <c r="V261" s="7"/>
      <c r="W261" s="7"/>
    </row>
    <row r="262" spans="1:23" ht="14.45" customHeight="1" x14ac:dyDescent="0.25">
      <c r="A262" s="1" t="s">
        <v>238</v>
      </c>
      <c r="B262" s="1"/>
      <c r="C262" s="1"/>
      <c r="D262" s="1"/>
      <c r="E262" s="51" t="s">
        <v>93</v>
      </c>
      <c r="F262" s="51">
        <f>IFERROR(SUMIF(L105:L116,"=biodiesel",O105:O116)+0.2*SUMIF(L105:L116,"=B20",O105:O116)-F263,"")</f>
        <v>0</v>
      </c>
      <c r="G262" s="7"/>
      <c r="H262" s="219" t="s">
        <v>283</v>
      </c>
      <c r="I262" s="35"/>
      <c r="J262" s="7"/>
      <c r="K262" s="7"/>
      <c r="L262" s="7"/>
      <c r="M262" s="7"/>
      <c r="N262" s="7"/>
      <c r="O262" s="7"/>
      <c r="P262" s="7"/>
      <c r="Q262" s="7"/>
      <c r="R262" s="7"/>
      <c r="S262" s="7"/>
      <c r="T262" s="7"/>
      <c r="U262" s="7"/>
      <c r="V262" s="7"/>
      <c r="W262" s="7"/>
    </row>
    <row r="263" spans="1:23" ht="14.45" customHeight="1" x14ac:dyDescent="0.25">
      <c r="A263" s="1" t="s">
        <v>715</v>
      </c>
      <c r="B263" s="1"/>
      <c r="C263" s="1"/>
      <c r="D263" s="1"/>
      <c r="E263" s="51" t="s">
        <v>93</v>
      </c>
      <c r="F263" s="51">
        <f>IFERROR(SUMIFS(O105:O116,L105:L116,"=biodiesel",K105:K116,"User Defined*"),"")</f>
        <v>0</v>
      </c>
      <c r="G263" s="7"/>
      <c r="H263" s="219"/>
      <c r="I263" s="35"/>
      <c r="J263" s="7"/>
      <c r="K263" s="7"/>
      <c r="L263" s="7"/>
      <c r="M263" s="7"/>
      <c r="N263" s="7"/>
      <c r="O263" s="7"/>
      <c r="P263" s="7"/>
      <c r="Q263" s="7"/>
      <c r="R263" s="7"/>
      <c r="S263" s="7"/>
      <c r="T263" s="7"/>
      <c r="U263" s="7"/>
      <c r="V263" s="7"/>
      <c r="W263" s="7"/>
    </row>
    <row r="264" spans="1:23" ht="14.45" customHeight="1" x14ac:dyDescent="0.25">
      <c r="A264" s="1" t="s">
        <v>665</v>
      </c>
      <c r="B264" s="1"/>
      <c r="C264" s="1"/>
      <c r="D264" s="1"/>
      <c r="E264" s="51" t="s">
        <v>93</v>
      </c>
      <c r="F264" s="51">
        <f>IFERROR(SUMIF(G16:G26,"=diesel",K16:K26)+0.8*SUMIF(G16:G26,"=B20",K16:K26)-SUM(F265:F267),"")</f>
        <v>0</v>
      </c>
      <c r="G264" s="7"/>
      <c r="H264" s="7"/>
      <c r="I264" s="7"/>
      <c r="J264" s="7"/>
      <c r="K264" s="7"/>
      <c r="L264" s="7"/>
      <c r="M264" s="7"/>
      <c r="N264" s="7"/>
      <c r="O264" s="7"/>
      <c r="P264" s="7"/>
      <c r="Q264" s="7"/>
      <c r="R264" s="7"/>
      <c r="S264" s="7"/>
      <c r="T264" s="7"/>
      <c r="U264" s="7"/>
      <c r="V264" s="7"/>
      <c r="W264" s="7"/>
    </row>
    <row r="265" spans="1:23" ht="14.45" customHeight="1" x14ac:dyDescent="0.25">
      <c r="A265" s="1" t="s">
        <v>664</v>
      </c>
      <c r="B265" s="1"/>
      <c r="C265" s="1"/>
      <c r="D265" s="1"/>
      <c r="E265" s="51" t="s">
        <v>93</v>
      </c>
      <c r="F265" s="51">
        <f>IFERROR(SUMIFS(K16:K26,G16:G26,"=diesel",E16:E26,"=Car"),"")</f>
        <v>0</v>
      </c>
      <c r="G265" s="7"/>
      <c r="H265" s="7"/>
      <c r="I265" s="7"/>
      <c r="J265" s="7"/>
      <c r="K265" s="7"/>
      <c r="L265" s="7"/>
      <c r="M265" s="7"/>
      <c r="N265" s="7"/>
      <c r="O265" s="7"/>
      <c r="P265" s="7"/>
      <c r="Q265" s="7"/>
      <c r="R265" s="7"/>
      <c r="S265" s="7"/>
      <c r="T265" s="7"/>
      <c r="U265" s="7"/>
      <c r="V265" s="7"/>
      <c r="W265" s="7"/>
    </row>
    <row r="266" spans="1:23" ht="14.45" customHeight="1" x14ac:dyDescent="0.25">
      <c r="A266" s="1" t="s">
        <v>676</v>
      </c>
      <c r="B266" s="1"/>
      <c r="C266" s="1"/>
      <c r="D266" s="1"/>
      <c r="E266" s="51" t="s">
        <v>93</v>
      </c>
      <c r="F266" s="51">
        <f>IFERROR(SUMIFS(K16:K26,G16:G26,"=diesel",E16:E26,"=Light-Duty/Passenger Truck"),"")</f>
        <v>0</v>
      </c>
      <c r="G266" s="7"/>
      <c r="H266" s="7"/>
      <c r="I266" s="7"/>
      <c r="J266" s="7"/>
      <c r="K266" s="7"/>
      <c r="L266" s="7"/>
      <c r="M266" s="7"/>
      <c r="N266" s="7"/>
      <c r="O266" s="7"/>
      <c r="P266" s="7"/>
      <c r="Q266" s="7"/>
      <c r="R266" s="7"/>
      <c r="S266" s="7"/>
      <c r="T266" s="7"/>
      <c r="U266" s="7"/>
      <c r="V266" s="7"/>
      <c r="W266" s="7"/>
    </row>
    <row r="267" spans="1:23" ht="14.45" customHeight="1" x14ac:dyDescent="0.25">
      <c r="A267" s="1" t="s">
        <v>675</v>
      </c>
      <c r="B267" s="1"/>
      <c r="C267" s="1"/>
      <c r="D267" s="1"/>
      <c r="E267" s="51" t="s">
        <v>93</v>
      </c>
      <c r="F267" s="51">
        <f>IFERROR(SUMIFS(K16:K26,G16:G26,"=diesel",E16:E26,"User Defined*"),"")</f>
        <v>0</v>
      </c>
      <c r="G267" s="7"/>
      <c r="H267" s="7"/>
      <c r="I267" s="7"/>
      <c r="J267" s="7"/>
      <c r="K267" s="7"/>
      <c r="L267" s="7"/>
      <c r="M267" s="7"/>
      <c r="N267" s="7"/>
      <c r="O267" s="7"/>
      <c r="P267" s="7"/>
      <c r="Q267" s="7"/>
      <c r="R267" s="7"/>
      <c r="S267" s="7"/>
      <c r="T267" s="7"/>
      <c r="U267" s="7"/>
      <c r="V267" s="7"/>
      <c r="W267" s="7"/>
    </row>
    <row r="268" spans="1:23" ht="14.45" customHeight="1" x14ac:dyDescent="0.25">
      <c r="A268" s="1" t="s">
        <v>232</v>
      </c>
      <c r="B268" s="1"/>
      <c r="C268" s="1"/>
      <c r="D268" s="1"/>
      <c r="E268" s="51" t="s">
        <v>93</v>
      </c>
      <c r="F268" s="51">
        <f>IFERROR(SUMIF(N31:N40,"=diesel",Q31:Q40)+0.8*SUMIF(N31:N40,"=B20",Q31:Q40)-F269,"")</f>
        <v>0</v>
      </c>
      <c r="G268" s="7"/>
      <c r="H268" s="7"/>
      <c r="I268" s="7"/>
      <c r="J268" s="7"/>
      <c r="K268" s="7"/>
      <c r="L268" s="7"/>
      <c r="M268" s="7"/>
      <c r="N268" s="7"/>
      <c r="O268" s="7"/>
      <c r="P268" s="7"/>
      <c r="Q268" s="7"/>
      <c r="R268" s="7"/>
      <c r="S268" s="7"/>
      <c r="T268" s="7"/>
      <c r="U268" s="7"/>
      <c r="V268" s="7"/>
      <c r="W268" s="7"/>
    </row>
    <row r="269" spans="1:23" ht="14.45" customHeight="1" x14ac:dyDescent="0.25">
      <c r="A269" s="1" t="s">
        <v>716</v>
      </c>
      <c r="B269" s="1"/>
      <c r="C269" s="1"/>
      <c r="D269" s="1"/>
      <c r="E269" s="51" t="s">
        <v>93</v>
      </c>
      <c r="F269" s="51">
        <f>IFERROR(SUMIFS(O31:O40,N31:N40,"=Diesel",M31:M40,"User Defined*"),"")</f>
        <v>0</v>
      </c>
      <c r="G269" s="7"/>
      <c r="H269" s="7"/>
      <c r="I269" s="7"/>
      <c r="J269" s="7"/>
      <c r="K269" s="7"/>
      <c r="L269" s="7"/>
      <c r="M269" s="7"/>
      <c r="N269" s="7"/>
      <c r="O269" s="7"/>
      <c r="P269" s="7"/>
      <c r="Q269" s="7"/>
      <c r="R269" s="7"/>
      <c r="S269" s="7"/>
      <c r="T269" s="7"/>
      <c r="U269" s="7"/>
      <c r="V269" s="7"/>
      <c r="W269" s="7"/>
    </row>
    <row r="270" spans="1:23" ht="14.45" customHeight="1" x14ac:dyDescent="0.25">
      <c r="A270" s="1" t="s">
        <v>233</v>
      </c>
      <c r="B270" s="1"/>
      <c r="C270" s="1"/>
      <c r="D270" s="1"/>
      <c r="E270" s="51" t="s">
        <v>93</v>
      </c>
      <c r="F270" s="51">
        <f>IFERROR(SUMIF(O74:O91,"=diesel",R74:R91)+0.8*SUMIF(O74:O91,"=B20",R74:R91)-F271,"")</f>
        <v>0</v>
      </c>
      <c r="G270" s="7"/>
      <c r="H270" s="7"/>
      <c r="I270" s="7"/>
      <c r="J270" s="7"/>
      <c r="K270" s="7"/>
      <c r="L270" s="7"/>
      <c r="M270" s="7"/>
      <c r="N270" s="7"/>
      <c r="O270" s="7"/>
      <c r="P270" s="7"/>
      <c r="Q270" s="7"/>
      <c r="R270" s="7"/>
      <c r="S270" s="7"/>
      <c r="T270" s="7"/>
      <c r="U270" s="7"/>
      <c r="V270" s="7"/>
      <c r="W270" s="7"/>
    </row>
    <row r="271" spans="1:23" ht="14.45" customHeight="1" x14ac:dyDescent="0.25">
      <c r="A271" s="1" t="s">
        <v>717</v>
      </c>
      <c r="B271" s="1"/>
      <c r="C271" s="1"/>
      <c r="D271" s="1"/>
      <c r="E271" s="51" t="s">
        <v>93</v>
      </c>
      <c r="F271" s="51">
        <f>IFERROR(SUMIFS(R31:R40,O31:O40,"=Diesel",N31:N40,"User Defined*"),"")</f>
        <v>0</v>
      </c>
      <c r="G271" s="7"/>
      <c r="H271" s="7"/>
      <c r="I271" s="7"/>
      <c r="J271" s="7"/>
      <c r="K271" s="7"/>
      <c r="L271" s="7"/>
      <c r="M271" s="7"/>
      <c r="N271" s="7"/>
      <c r="O271" s="7"/>
      <c r="P271" s="7"/>
      <c r="Q271" s="7"/>
      <c r="R271" s="7"/>
      <c r="S271" s="7"/>
      <c r="T271" s="7"/>
      <c r="U271" s="7"/>
      <c r="V271" s="7"/>
      <c r="W271" s="7"/>
    </row>
    <row r="272" spans="1:23" ht="14.45" customHeight="1" x14ac:dyDescent="0.3">
      <c r="A272" s="1" t="s">
        <v>234</v>
      </c>
      <c r="B272" s="1"/>
      <c r="C272" s="1"/>
      <c r="D272" s="1"/>
      <c r="E272" s="51" t="s">
        <v>93</v>
      </c>
      <c r="F272" s="51">
        <f>IFERROR(SUMIF(L105:L116,"=diesel",O105:O116)+0.8*SUMIF(L105:L116,"=B20",O105:O116)-F273,"")</f>
        <v>0</v>
      </c>
      <c r="G272" s="7"/>
      <c r="H272" s="37"/>
      <c r="I272" s="37"/>
      <c r="J272" s="7"/>
      <c r="K272" s="7"/>
      <c r="L272" s="7"/>
      <c r="M272" s="7"/>
      <c r="N272" s="7"/>
      <c r="O272" s="7"/>
      <c r="P272" s="7"/>
      <c r="Q272" s="7"/>
      <c r="R272" s="7"/>
      <c r="S272" s="7"/>
      <c r="T272" s="7"/>
      <c r="U272" s="7"/>
      <c r="V272" s="7"/>
      <c r="W272" s="7"/>
    </row>
    <row r="273" spans="1:23" ht="14.45" customHeight="1" x14ac:dyDescent="0.3">
      <c r="A273" s="1" t="s">
        <v>718</v>
      </c>
      <c r="B273" s="1"/>
      <c r="C273" s="1"/>
      <c r="D273" s="1"/>
      <c r="E273" s="51" t="s">
        <v>93</v>
      </c>
      <c r="F273" s="51">
        <f>IFERROR(SUMIFS(O105:O116,L105:L116,"=Diesel",K105:K116,"User Defined*"),"")</f>
        <v>0</v>
      </c>
      <c r="G273" s="7"/>
      <c r="H273" s="37"/>
      <c r="I273" s="37"/>
      <c r="J273" s="7"/>
      <c r="K273" s="7"/>
      <c r="L273" s="7"/>
      <c r="M273" s="7"/>
      <c r="N273" s="7"/>
      <c r="O273" s="7"/>
      <c r="P273" s="7"/>
      <c r="Q273" s="7"/>
      <c r="R273" s="7"/>
      <c r="S273" s="7"/>
      <c r="T273" s="7"/>
      <c r="U273" s="7"/>
      <c r="V273" s="7"/>
      <c r="W273" s="7"/>
    </row>
    <row r="274" spans="1:23" ht="14.45" customHeight="1" x14ac:dyDescent="0.25">
      <c r="A274" s="1" t="s">
        <v>666</v>
      </c>
      <c r="B274" s="1"/>
      <c r="C274" s="1"/>
      <c r="D274" s="1"/>
      <c r="E274" s="51" t="s">
        <v>93</v>
      </c>
      <c r="F274" s="51">
        <f>IFERROR(SUMIF(G16:G26,"=gasoline",K16:K26)-SUM(F275:F277),"")</f>
        <v>0</v>
      </c>
      <c r="G274" s="7"/>
      <c r="H274" s="7"/>
      <c r="I274" s="7"/>
      <c r="J274" s="7"/>
      <c r="K274" s="7"/>
      <c r="L274" s="7"/>
      <c r="M274" s="7"/>
      <c r="N274" s="7"/>
      <c r="O274" s="7"/>
      <c r="P274" s="7"/>
      <c r="Q274" s="7"/>
      <c r="R274" s="7"/>
      <c r="S274" s="7"/>
      <c r="T274" s="7"/>
      <c r="U274" s="7"/>
      <c r="V274" s="7"/>
      <c r="W274" s="7"/>
    </row>
    <row r="275" spans="1:23" ht="14.45" customHeight="1" x14ac:dyDescent="0.25">
      <c r="A275" s="1" t="s">
        <v>667</v>
      </c>
      <c r="B275" s="1"/>
      <c r="C275" s="1"/>
      <c r="D275" s="1"/>
      <c r="E275" s="51" t="s">
        <v>93</v>
      </c>
      <c r="F275" s="51">
        <f>IFERROR(SUMIFS(K16:K26,G16:G26,"=gasoline",E16:E26,"=Car"),"")</f>
        <v>0</v>
      </c>
      <c r="G275" s="7"/>
      <c r="H275" s="7"/>
      <c r="I275" s="7"/>
      <c r="J275" s="7"/>
      <c r="K275" s="7"/>
      <c r="L275" s="7"/>
      <c r="M275" s="7"/>
      <c r="N275" s="7"/>
      <c r="O275" s="7"/>
      <c r="P275" s="7"/>
      <c r="Q275" s="7"/>
      <c r="R275" s="7"/>
      <c r="S275" s="7"/>
      <c r="T275" s="7"/>
      <c r="U275" s="7"/>
      <c r="V275" s="7"/>
      <c r="W275" s="7"/>
    </row>
    <row r="276" spans="1:23" ht="14.45" customHeight="1" x14ac:dyDescent="0.25">
      <c r="A276" s="1" t="s">
        <v>739</v>
      </c>
      <c r="B276" s="1"/>
      <c r="C276" s="1"/>
      <c r="D276" s="1"/>
      <c r="E276" s="51" t="s">
        <v>93</v>
      </c>
      <c r="F276" s="51">
        <f>IFERROR(SUMIFS(K16:K26,G16:G26,"=gasoline",E16:E26,"=Light-Duty/Passenger Truck"),"")</f>
        <v>0</v>
      </c>
      <c r="G276" s="7"/>
      <c r="H276" s="7"/>
      <c r="I276" s="7"/>
      <c r="J276" s="7"/>
      <c r="K276" s="7"/>
      <c r="L276" s="7"/>
      <c r="M276" s="7"/>
      <c r="N276" s="7"/>
      <c r="O276" s="7"/>
      <c r="P276" s="7"/>
      <c r="Q276" s="7"/>
      <c r="R276" s="7"/>
      <c r="S276" s="7"/>
      <c r="T276" s="7"/>
      <c r="U276" s="7"/>
      <c r="V276" s="7"/>
      <c r="W276" s="7"/>
    </row>
    <row r="277" spans="1:23" ht="14.45" customHeight="1" x14ac:dyDescent="0.25">
      <c r="A277" s="1" t="s">
        <v>740</v>
      </c>
      <c r="B277" s="1"/>
      <c r="C277" s="1"/>
      <c r="D277" s="1"/>
      <c r="E277" s="51" t="s">
        <v>93</v>
      </c>
      <c r="F277" s="51">
        <f>IFERROR(SUMIFS(K16:K26,G16:G26,"=gasoline",E16:E26,"User Defined*"),"")</f>
        <v>0</v>
      </c>
      <c r="G277" s="7"/>
      <c r="H277" s="7"/>
      <c r="I277" s="7"/>
      <c r="J277" s="7"/>
      <c r="K277" s="7"/>
      <c r="L277" s="7"/>
      <c r="M277" s="7"/>
      <c r="N277" s="7"/>
      <c r="O277" s="7"/>
      <c r="P277" s="7"/>
      <c r="Q277" s="7"/>
      <c r="R277" s="7"/>
      <c r="S277" s="7"/>
      <c r="T277" s="7"/>
      <c r="U277" s="7"/>
      <c r="V277" s="7"/>
      <c r="W277" s="7"/>
    </row>
    <row r="278" spans="1:23" ht="14.45" customHeight="1" x14ac:dyDescent="0.25">
      <c r="A278" s="1" t="s">
        <v>231</v>
      </c>
      <c r="B278" s="1"/>
      <c r="C278" s="1"/>
      <c r="D278" s="1"/>
      <c r="E278" s="51" t="s">
        <v>93</v>
      </c>
      <c r="F278" s="51">
        <f>IFERROR(SUMIF(N31:N40,"=gasoline",Q31:Q40)-F279,"")</f>
        <v>0</v>
      </c>
      <c r="G278" s="7"/>
      <c r="H278" s="40"/>
      <c r="I278" s="40"/>
      <c r="J278" s="7"/>
      <c r="K278" s="7"/>
      <c r="L278" s="7"/>
      <c r="M278" s="7"/>
      <c r="N278" s="7"/>
      <c r="O278" s="7"/>
      <c r="P278" s="7"/>
      <c r="Q278" s="7"/>
      <c r="R278" s="7"/>
      <c r="S278" s="7"/>
      <c r="T278" s="7"/>
      <c r="U278" s="7"/>
      <c r="V278" s="7"/>
      <c r="W278" s="7"/>
    </row>
    <row r="279" spans="1:23" ht="14.45" customHeight="1" x14ac:dyDescent="0.25">
      <c r="A279" s="1" t="s">
        <v>719</v>
      </c>
      <c r="B279" s="1"/>
      <c r="C279" s="1"/>
      <c r="D279" s="1"/>
      <c r="E279" s="51" t="s">
        <v>93</v>
      </c>
      <c r="F279" s="51">
        <f>IFERROR(SUMIFS(O31:O40,N31:N40,"=Gasolinel",M31:M40,"User Defined*"),"")</f>
        <v>0</v>
      </c>
      <c r="G279" s="7"/>
      <c r="H279" s="40"/>
      <c r="I279" s="40"/>
      <c r="J279" s="7"/>
      <c r="K279" s="7"/>
      <c r="L279" s="7"/>
      <c r="M279" s="7"/>
      <c r="N279" s="7"/>
      <c r="O279" s="7"/>
      <c r="P279" s="7"/>
      <c r="Q279" s="7"/>
      <c r="R279" s="7"/>
      <c r="S279" s="7"/>
      <c r="T279" s="7"/>
      <c r="U279" s="7"/>
      <c r="V279" s="7"/>
      <c r="W279" s="7"/>
    </row>
    <row r="280" spans="1:23" ht="14.45" customHeight="1" x14ac:dyDescent="0.25">
      <c r="A280" s="1" t="s">
        <v>338</v>
      </c>
      <c r="B280" s="1"/>
      <c r="C280" s="1"/>
      <c r="D280" s="1"/>
      <c r="E280" s="51" t="s">
        <v>138</v>
      </c>
      <c r="F280" s="51">
        <f>IFERROR(SUMIF(G16:G26,"=natural gas",K16:K26),"")</f>
        <v>0</v>
      </c>
      <c r="G280" s="7"/>
      <c r="H280" s="40"/>
      <c r="I280" s="40"/>
      <c r="J280" s="7"/>
      <c r="K280" s="7"/>
      <c r="L280" s="7"/>
      <c r="M280" s="7"/>
      <c r="N280" s="7"/>
      <c r="O280" s="7"/>
      <c r="P280" s="7"/>
      <c r="Q280" s="7"/>
      <c r="R280" s="7"/>
      <c r="S280" s="7"/>
      <c r="T280" s="7"/>
      <c r="U280" s="7"/>
      <c r="V280" s="7"/>
      <c r="W280" s="7"/>
    </row>
    <row r="281" spans="1:23" ht="14.45" customHeight="1" x14ac:dyDescent="0.25">
      <c r="A281" s="1" t="s">
        <v>678</v>
      </c>
      <c r="B281" s="1"/>
      <c r="C281" s="1"/>
      <c r="D281" s="1"/>
      <c r="E281" s="51" t="s">
        <v>138</v>
      </c>
      <c r="F281" s="51">
        <f>IFERROR(SUMIFS(K16:K26,G16:G26,"=natural gas",E16:E26,"User Defined*"),"")</f>
        <v>0</v>
      </c>
      <c r="G281" s="7"/>
      <c r="H281" s="40"/>
      <c r="I281" s="40"/>
      <c r="J281" s="7"/>
      <c r="K281" s="7"/>
      <c r="L281" s="7"/>
      <c r="M281" s="7"/>
      <c r="N281" s="7"/>
      <c r="O281" s="7"/>
      <c r="P281" s="7"/>
      <c r="Q281" s="7"/>
      <c r="R281" s="7"/>
      <c r="S281" s="7"/>
      <c r="T281" s="7"/>
      <c r="U281" s="7"/>
      <c r="V281" s="7"/>
      <c r="W281" s="7"/>
    </row>
    <row r="282" spans="1:23" ht="14.45" customHeight="1" x14ac:dyDescent="0.25">
      <c r="A282" s="1" t="s">
        <v>339</v>
      </c>
      <c r="B282" s="1"/>
      <c r="C282" s="1"/>
      <c r="D282" s="1"/>
      <c r="E282" s="51" t="s">
        <v>138</v>
      </c>
      <c r="F282" s="51">
        <f>IFERROR(SUMIF(N31:N40,"=natural gas",Q31:Q40),"")</f>
        <v>0</v>
      </c>
      <c r="G282" s="40"/>
      <c r="H282" s="40"/>
      <c r="I282" s="40"/>
      <c r="J282" s="7"/>
      <c r="K282" s="7"/>
      <c r="L282" s="7"/>
      <c r="M282" s="7"/>
      <c r="N282" s="7"/>
      <c r="O282" s="7"/>
      <c r="P282" s="7"/>
      <c r="Q282" s="7"/>
      <c r="R282" s="7"/>
      <c r="S282" s="7"/>
      <c r="T282" s="7"/>
      <c r="U282" s="7"/>
      <c r="V282" s="7"/>
      <c r="W282" s="7"/>
    </row>
    <row r="283" spans="1:23" ht="14.45" customHeight="1" x14ac:dyDescent="0.25">
      <c r="A283" s="140" t="s">
        <v>229</v>
      </c>
      <c r="B283" s="1"/>
      <c r="C283" s="1"/>
      <c r="D283" s="1"/>
      <c r="E283" s="124"/>
      <c r="F283" s="51"/>
      <c r="G283" s="7"/>
      <c r="H283" s="220"/>
      <c r="I283" s="337"/>
      <c r="J283" s="7"/>
      <c r="K283" s="7"/>
      <c r="L283" s="7"/>
      <c r="M283" s="7"/>
      <c r="N283" s="7"/>
      <c r="O283" s="7"/>
      <c r="P283" s="7"/>
      <c r="Q283" s="7"/>
      <c r="R283" s="7"/>
      <c r="S283" s="7"/>
      <c r="T283" s="7"/>
      <c r="U283" s="7"/>
      <c r="V283" s="7"/>
      <c r="W283" s="7"/>
    </row>
    <row r="284" spans="1:23" x14ac:dyDescent="0.25">
      <c r="A284" s="116" t="s">
        <v>113</v>
      </c>
      <c r="B284" s="1"/>
      <c r="C284" s="1"/>
      <c r="D284" s="1"/>
      <c r="E284" s="51"/>
      <c r="F284" s="51"/>
      <c r="G284" s="7"/>
      <c r="H284" s="221"/>
      <c r="I284" s="39"/>
      <c r="J284" s="7"/>
      <c r="K284" s="7"/>
      <c r="L284" s="7"/>
      <c r="M284" s="7"/>
      <c r="N284" s="7"/>
      <c r="O284" s="7"/>
      <c r="P284" s="7"/>
      <c r="Q284" s="7"/>
      <c r="R284" s="7"/>
      <c r="S284" s="7"/>
      <c r="T284" s="7"/>
      <c r="U284" s="7"/>
      <c r="V284" s="7"/>
      <c r="W284" s="7"/>
    </row>
    <row r="285" spans="1:23" x14ac:dyDescent="0.25">
      <c r="A285" s="1" t="s">
        <v>164</v>
      </c>
      <c r="B285" s="1"/>
      <c r="C285" s="1"/>
      <c r="D285" s="1"/>
      <c r="E285" s="51" t="s">
        <v>93</v>
      </c>
      <c r="F285" s="51">
        <f>SUM(F264:F273)</f>
        <v>0</v>
      </c>
      <c r="G285" s="7"/>
      <c r="H285" s="39"/>
      <c r="I285" s="13"/>
      <c r="J285" s="7"/>
      <c r="K285" s="7"/>
      <c r="L285" s="7"/>
      <c r="M285" s="7"/>
      <c r="N285" s="7"/>
      <c r="O285" s="7"/>
      <c r="P285" s="7"/>
      <c r="Q285" s="7"/>
      <c r="R285" s="7"/>
      <c r="S285" s="7"/>
      <c r="T285" s="7"/>
      <c r="U285" s="7"/>
      <c r="V285" s="7"/>
      <c r="W285" s="7"/>
    </row>
    <row r="286" spans="1:23" x14ac:dyDescent="0.25">
      <c r="A286" s="1" t="s">
        <v>165</v>
      </c>
      <c r="B286" s="1"/>
      <c r="C286" s="1"/>
      <c r="D286" s="1"/>
      <c r="E286" s="51" t="s">
        <v>93</v>
      </c>
      <c r="F286" s="51">
        <f>SUM(F274:F279)</f>
        <v>0</v>
      </c>
      <c r="G286" s="7"/>
      <c r="H286" s="39"/>
      <c r="I286" s="13"/>
      <c r="J286" s="7"/>
      <c r="K286" s="7"/>
      <c r="L286" s="7"/>
      <c r="M286" s="7"/>
      <c r="N286" s="7"/>
      <c r="O286" s="7"/>
      <c r="P286" s="7"/>
      <c r="Q286" s="7"/>
      <c r="R286" s="7"/>
      <c r="S286" s="7"/>
      <c r="T286" s="7"/>
      <c r="U286" s="7"/>
      <c r="V286" s="7"/>
      <c r="W286" s="7"/>
    </row>
    <row r="287" spans="1:23" x14ac:dyDescent="0.25">
      <c r="A287" s="1" t="s">
        <v>166</v>
      </c>
      <c r="B287" s="1"/>
      <c r="C287" s="1"/>
      <c r="D287" s="1"/>
      <c r="E287" s="51" t="s">
        <v>138</v>
      </c>
      <c r="F287" s="51">
        <f>SUM(F280:F282)</f>
        <v>0</v>
      </c>
      <c r="G287" s="7"/>
      <c r="H287" s="39"/>
      <c r="I287" s="13"/>
      <c r="J287" s="7"/>
      <c r="K287" s="7"/>
      <c r="L287" s="7"/>
      <c r="M287" s="7"/>
      <c r="N287" s="7"/>
      <c r="O287" s="7"/>
      <c r="P287" s="7"/>
      <c r="Q287" s="7"/>
      <c r="R287" s="7"/>
      <c r="S287" s="7"/>
      <c r="T287" s="7"/>
      <c r="U287" s="7"/>
      <c r="V287" s="7"/>
      <c r="W287" s="7"/>
    </row>
    <row r="288" spans="1:23" x14ac:dyDescent="0.25">
      <c r="A288" s="1" t="s">
        <v>167</v>
      </c>
      <c r="B288" s="1"/>
      <c r="C288" s="1"/>
      <c r="D288" s="1"/>
      <c r="E288" s="51" t="s">
        <v>140</v>
      </c>
      <c r="F288" s="51">
        <f>F161</f>
        <v>10</v>
      </c>
      <c r="G288" s="7"/>
      <c r="H288" s="39"/>
      <c r="I288" s="13"/>
      <c r="J288" s="7"/>
      <c r="K288" s="7"/>
      <c r="L288" s="7"/>
      <c r="M288" s="7"/>
      <c r="N288" s="7"/>
      <c r="O288" s="7"/>
      <c r="P288" s="7"/>
      <c r="Q288" s="7"/>
      <c r="R288" s="7"/>
      <c r="S288" s="7"/>
      <c r="T288" s="7"/>
      <c r="U288" s="7"/>
      <c r="V288" s="7"/>
      <c r="W288" s="7"/>
    </row>
    <row r="289" spans="1:23" x14ac:dyDescent="0.25">
      <c r="A289" s="1" t="s">
        <v>168</v>
      </c>
      <c r="B289" s="1"/>
      <c r="C289" s="1"/>
      <c r="D289" s="1"/>
      <c r="E289" s="143" t="s">
        <v>140</v>
      </c>
      <c r="F289" s="51">
        <f>F162</f>
        <v>0</v>
      </c>
      <c r="G289" s="7"/>
      <c r="H289" s="39"/>
      <c r="I289" s="13"/>
      <c r="J289" s="7"/>
      <c r="K289" s="7"/>
      <c r="L289" s="7"/>
      <c r="M289" s="7"/>
      <c r="N289" s="7"/>
      <c r="O289" s="7"/>
      <c r="P289" s="7"/>
      <c r="Q289" s="7"/>
      <c r="R289" s="7"/>
      <c r="S289" s="7"/>
      <c r="T289" s="7"/>
      <c r="U289" s="7"/>
      <c r="V289" s="7"/>
      <c r="W289" s="7"/>
    </row>
    <row r="290" spans="1:23" x14ac:dyDescent="0.25">
      <c r="A290" s="56"/>
      <c r="B290" s="1"/>
      <c r="C290" s="1"/>
      <c r="D290" s="1"/>
      <c r="E290" s="51"/>
      <c r="F290" s="51"/>
      <c r="G290" s="7"/>
      <c r="H290" s="40"/>
      <c r="I290" s="13"/>
      <c r="J290" s="7"/>
      <c r="K290" s="7"/>
      <c r="L290" s="7"/>
      <c r="M290" s="7"/>
      <c r="N290" s="7"/>
      <c r="O290" s="7"/>
      <c r="P290" s="7"/>
      <c r="Q290" s="7"/>
      <c r="R290" s="7"/>
      <c r="S290" s="7"/>
      <c r="T290" s="7"/>
      <c r="U290" s="7"/>
      <c r="V290" s="7"/>
      <c r="W290" s="7"/>
    </row>
    <row r="291" spans="1:23" x14ac:dyDescent="0.25">
      <c r="A291" s="116" t="s">
        <v>117</v>
      </c>
      <c r="B291" s="1"/>
      <c r="C291" s="1"/>
      <c r="D291" s="1"/>
      <c r="E291" s="51"/>
      <c r="F291" s="51"/>
      <c r="G291" s="7"/>
      <c r="H291" s="221"/>
      <c r="I291" s="13"/>
      <c r="J291" s="7"/>
      <c r="K291" s="7"/>
      <c r="L291" s="7"/>
      <c r="M291" s="7"/>
      <c r="N291" s="7"/>
      <c r="O291" s="7"/>
      <c r="P291" s="7"/>
      <c r="Q291" s="7"/>
      <c r="R291" s="7"/>
      <c r="S291" s="7"/>
      <c r="T291" s="7"/>
      <c r="U291" s="7"/>
      <c r="V291" s="7"/>
      <c r="W291" s="7"/>
    </row>
    <row r="292" spans="1:23" x14ac:dyDescent="0.25">
      <c r="A292" s="1" t="s">
        <v>154</v>
      </c>
      <c r="B292" s="1"/>
      <c r="C292" s="1"/>
      <c r="D292" s="1"/>
      <c r="E292" s="51" t="s">
        <v>93</v>
      </c>
      <c r="F292" s="51">
        <f>SUM(F256:F263)</f>
        <v>0</v>
      </c>
      <c r="G292" s="7"/>
      <c r="H292" s="39"/>
      <c r="I292" s="13"/>
      <c r="J292" s="7"/>
      <c r="K292" s="7"/>
      <c r="L292" s="7"/>
      <c r="M292" s="7"/>
      <c r="N292" s="7"/>
      <c r="O292" s="7"/>
      <c r="P292" s="7"/>
      <c r="Q292" s="7"/>
      <c r="R292" s="7"/>
      <c r="S292" s="7"/>
      <c r="T292" s="7"/>
      <c r="U292" s="7"/>
      <c r="V292" s="7"/>
      <c r="W292" s="7"/>
    </row>
    <row r="293" spans="1:23" x14ac:dyDescent="0.25">
      <c r="A293" s="1" t="s">
        <v>169</v>
      </c>
      <c r="B293" s="1"/>
      <c r="C293" s="1"/>
      <c r="D293" s="1"/>
      <c r="E293" s="51" t="s">
        <v>140</v>
      </c>
      <c r="F293" s="51">
        <f>F171</f>
        <v>0</v>
      </c>
      <c r="G293" s="7"/>
      <c r="H293" s="39"/>
      <c r="I293" s="13"/>
      <c r="J293" s="7"/>
      <c r="K293" s="7"/>
      <c r="L293" s="7"/>
      <c r="M293" s="7"/>
      <c r="N293" s="7"/>
      <c r="O293" s="7"/>
      <c r="P293" s="7"/>
      <c r="Q293" s="7"/>
      <c r="R293" s="7"/>
      <c r="S293" s="7"/>
      <c r="T293" s="7"/>
      <c r="U293" s="7"/>
      <c r="V293" s="7"/>
      <c r="W293" s="7"/>
    </row>
    <row r="294" spans="1:23" x14ac:dyDescent="0.25">
      <c r="A294" s="1" t="s">
        <v>170</v>
      </c>
      <c r="B294" s="1"/>
      <c r="C294" s="1"/>
      <c r="D294" s="1"/>
      <c r="E294" s="51" t="s">
        <v>140</v>
      </c>
      <c r="F294" s="51">
        <f>F172</f>
        <v>0</v>
      </c>
      <c r="G294" s="7"/>
      <c r="H294" s="39"/>
      <c r="I294" s="13"/>
      <c r="J294" s="7"/>
      <c r="K294" s="7"/>
      <c r="L294" s="7"/>
      <c r="M294" s="7"/>
      <c r="N294" s="7"/>
      <c r="O294" s="7"/>
      <c r="P294" s="7"/>
      <c r="Q294" s="7"/>
      <c r="R294" s="7"/>
      <c r="S294" s="7"/>
      <c r="T294" s="7"/>
      <c r="U294" s="7"/>
      <c r="V294" s="7"/>
      <c r="W294" s="7"/>
    </row>
    <row r="295" spans="1:23" x14ac:dyDescent="0.25">
      <c r="A295" s="56"/>
      <c r="B295" s="1"/>
      <c r="C295" s="1"/>
      <c r="D295" s="1"/>
      <c r="E295" s="124"/>
      <c r="F295" s="51"/>
      <c r="G295" s="7"/>
      <c r="H295" s="40"/>
      <c r="I295" s="40"/>
      <c r="J295" s="7"/>
      <c r="K295" s="7"/>
      <c r="L295" s="7"/>
      <c r="M295" s="7"/>
      <c r="N295" s="7"/>
      <c r="O295" s="7"/>
      <c r="P295" s="7"/>
      <c r="Q295" s="7"/>
      <c r="R295" s="7"/>
      <c r="S295" s="7"/>
      <c r="T295" s="7"/>
      <c r="U295" s="7"/>
      <c r="V295" s="7"/>
      <c r="W295" s="7"/>
    </row>
    <row r="296" spans="1:23" x14ac:dyDescent="0.25">
      <c r="A296" s="56" t="s">
        <v>52</v>
      </c>
      <c r="B296" s="1"/>
      <c r="C296" s="1"/>
      <c r="D296" s="1"/>
      <c r="E296" s="124"/>
      <c r="F296" s="51"/>
      <c r="G296" s="7"/>
      <c r="H296" s="40"/>
      <c r="I296" s="40"/>
      <c r="J296" s="7"/>
      <c r="K296" s="7"/>
      <c r="L296" s="7"/>
      <c r="M296" s="7"/>
      <c r="N296" s="7"/>
      <c r="O296" s="7"/>
      <c r="P296" s="7"/>
      <c r="Q296" s="7"/>
      <c r="R296" s="7"/>
      <c r="S296" s="7"/>
      <c r="T296" s="7"/>
      <c r="U296" s="7"/>
      <c r="V296" s="7"/>
      <c r="W296" s="7"/>
    </row>
    <row r="297" spans="1:23" x14ac:dyDescent="0.25">
      <c r="A297" s="144" t="s">
        <v>216</v>
      </c>
      <c r="B297" s="1"/>
      <c r="C297" s="1"/>
      <c r="D297" s="1"/>
      <c r="E297" s="51"/>
      <c r="F297" s="51"/>
      <c r="G297" s="7"/>
      <c r="H297" s="222"/>
      <c r="I297" s="13"/>
      <c r="J297" s="7"/>
      <c r="K297" s="7"/>
      <c r="L297" s="7"/>
      <c r="M297" s="7"/>
      <c r="N297" s="7"/>
      <c r="O297" s="7"/>
      <c r="P297" s="7"/>
      <c r="Q297" s="7"/>
      <c r="R297" s="7"/>
      <c r="S297" s="7"/>
      <c r="T297" s="7"/>
      <c r="U297" s="7"/>
      <c r="V297" s="7"/>
      <c r="W297" s="7"/>
    </row>
    <row r="298" spans="1:23" x14ac:dyDescent="0.25">
      <c r="A298" s="1" t="s">
        <v>632</v>
      </c>
      <c r="B298" s="1"/>
      <c r="C298" s="1"/>
      <c r="D298" s="1"/>
      <c r="E298" s="51" t="s">
        <v>43</v>
      </c>
      <c r="F298" s="51">
        <f>IFERROR(SUMIFS($D$74:$D$91,$A$74:$A$91,"=Aluminum, Rolled Sheet", $H$74:$H$91,"=Yes"),"")</f>
        <v>0</v>
      </c>
      <c r="G298" s="7"/>
      <c r="H298" s="222"/>
      <c r="I298" s="13"/>
      <c r="J298" s="7"/>
      <c r="K298" s="7"/>
      <c r="L298" s="7"/>
      <c r="M298" s="7"/>
      <c r="N298" s="7"/>
      <c r="O298" s="7"/>
      <c r="P298" s="7"/>
      <c r="Q298" s="7"/>
      <c r="R298" s="7"/>
      <c r="S298" s="7"/>
      <c r="T298" s="7"/>
      <c r="U298" s="7"/>
      <c r="V298" s="7"/>
      <c r="W298" s="7"/>
    </row>
    <row r="299" spans="1:23" x14ac:dyDescent="0.25">
      <c r="A299" s="1" t="s">
        <v>633</v>
      </c>
      <c r="B299" s="1"/>
      <c r="C299" s="1"/>
      <c r="D299" s="1"/>
      <c r="E299" s="51" t="s">
        <v>43</v>
      </c>
      <c r="F299" s="51">
        <f>IFERROR(SUMIFS($D$74:$D$91,$A$74:$A$91,"=Asphalt, mastic", $H$74:$H$91,"=Yes"),"")</f>
        <v>0</v>
      </c>
      <c r="G299" s="7"/>
      <c r="H299" s="222"/>
      <c r="I299" s="13"/>
      <c r="J299" s="7"/>
      <c r="K299" s="7"/>
      <c r="L299" s="7"/>
      <c r="M299" s="7"/>
      <c r="N299" s="7"/>
      <c r="O299" s="7"/>
      <c r="P299" s="7"/>
      <c r="Q299" s="7"/>
      <c r="R299" s="7"/>
      <c r="S299" s="7"/>
      <c r="T299" s="7"/>
      <c r="U299" s="7"/>
      <c r="V299" s="7"/>
      <c r="W299" s="7"/>
    </row>
    <row r="300" spans="1:23" x14ac:dyDescent="0.25">
      <c r="A300" s="1" t="s">
        <v>634</v>
      </c>
      <c r="B300" s="1"/>
      <c r="C300" s="1"/>
      <c r="D300" s="1"/>
      <c r="E300" s="51" t="s">
        <v>43</v>
      </c>
      <c r="F300" s="51">
        <f>IFERROR(SUMIFS($D$74:$D$91,$A$74:$A$91,"=Asphalt, paving-grade", $H$74:$H$91,"=Yes"),"")</f>
        <v>0</v>
      </c>
      <c r="G300" s="7"/>
      <c r="H300" s="222"/>
      <c r="I300" s="13"/>
      <c r="J300" s="7"/>
      <c r="K300" s="7"/>
      <c r="L300" s="7"/>
      <c r="M300" s="7"/>
      <c r="N300" s="7"/>
      <c r="O300" s="7"/>
      <c r="P300" s="7"/>
      <c r="Q300" s="7"/>
      <c r="R300" s="7"/>
      <c r="S300" s="7"/>
      <c r="T300" s="7"/>
      <c r="U300" s="7"/>
      <c r="V300" s="7"/>
      <c r="W300" s="7"/>
    </row>
    <row r="301" spans="1:23" x14ac:dyDescent="0.25">
      <c r="A301" s="1" t="s">
        <v>635</v>
      </c>
      <c r="B301" s="1"/>
      <c r="C301" s="1"/>
      <c r="D301" s="1"/>
      <c r="E301" s="51" t="s">
        <v>43</v>
      </c>
      <c r="F301" s="51">
        <f>IFERROR(SUMIFS($D$74:$D$91,$A$74:$A$91,"=Ethanol, Corn, 95%", $H$74:$H$91,"=Yes"),"")</f>
        <v>0</v>
      </c>
      <c r="G301" s="7"/>
      <c r="H301" s="222"/>
      <c r="I301" s="13"/>
      <c r="J301" s="7"/>
      <c r="K301" s="7"/>
      <c r="L301" s="7"/>
      <c r="M301" s="7"/>
      <c r="N301" s="7"/>
      <c r="O301" s="7"/>
      <c r="P301" s="7"/>
      <c r="Q301" s="7"/>
      <c r="R301" s="7"/>
      <c r="S301" s="7"/>
      <c r="T301" s="7"/>
      <c r="U301" s="7"/>
      <c r="V301" s="7"/>
      <c r="W301" s="7"/>
    </row>
    <row r="302" spans="1:23" x14ac:dyDescent="0.25">
      <c r="A302" s="1" t="s">
        <v>636</v>
      </c>
      <c r="B302" s="1"/>
      <c r="C302" s="1"/>
      <c r="D302" s="1"/>
      <c r="E302" s="51" t="s">
        <v>43</v>
      </c>
      <c r="F302" s="51">
        <f>IFERROR(SUMIFS($D$74:$D$91,$A$74:$A$91,"=Ethanol, Corn, 99.7%", $H$74:$H$91,"=Yes"),"")</f>
        <v>0</v>
      </c>
      <c r="G302" s="7"/>
      <c r="H302" s="222"/>
      <c r="I302" s="13"/>
      <c r="J302" s="7"/>
      <c r="K302" s="7"/>
      <c r="L302" s="7"/>
      <c r="M302" s="7"/>
      <c r="N302" s="7"/>
      <c r="O302" s="7"/>
      <c r="P302" s="7"/>
      <c r="Q302" s="7"/>
      <c r="R302" s="7"/>
      <c r="S302" s="7"/>
      <c r="T302" s="7"/>
      <c r="U302" s="7"/>
      <c r="V302" s="7"/>
      <c r="W302" s="7"/>
    </row>
    <row r="303" spans="1:23" x14ac:dyDescent="0.25">
      <c r="A303" s="1" t="s">
        <v>637</v>
      </c>
      <c r="B303" s="1"/>
      <c r="C303" s="1"/>
      <c r="D303" s="1"/>
      <c r="E303" s="51" t="s">
        <v>43</v>
      </c>
      <c r="F303" s="51">
        <f>IFERROR(SUMIFS($D$74:$D$91,$A$74:$A$91,"=Ethanol, Petroleum, 99.7%", $H$74:$H$91,"=Yes"),"")</f>
        <v>0</v>
      </c>
      <c r="G303" s="7"/>
      <c r="H303" s="222"/>
      <c r="I303" s="13"/>
      <c r="J303" s="7"/>
      <c r="K303" s="7"/>
      <c r="L303" s="7"/>
      <c r="M303" s="7"/>
      <c r="N303" s="7"/>
      <c r="O303" s="7"/>
      <c r="P303" s="7"/>
      <c r="Q303" s="7"/>
      <c r="R303" s="7"/>
      <c r="S303" s="7"/>
      <c r="T303" s="7"/>
      <c r="U303" s="7"/>
      <c r="V303" s="7"/>
      <c r="W303" s="7"/>
    </row>
    <row r="304" spans="1:23" x14ac:dyDescent="0.25">
      <c r="A304" s="1" t="s">
        <v>638</v>
      </c>
      <c r="B304" s="1"/>
      <c r="C304" s="1"/>
      <c r="D304" s="1"/>
      <c r="E304" s="51" t="s">
        <v>43</v>
      </c>
      <c r="F304" s="51">
        <f>IFERROR(SUMIFS($D$74:$D$91,$A$74:$A$91,"=Gravel/Sand Mix, 65% Gravel", $H$74:$H$91,"=Yes"),"")</f>
        <v>0</v>
      </c>
      <c r="G304" s="7"/>
      <c r="H304" s="222"/>
      <c r="I304" s="13"/>
      <c r="J304" s="7"/>
      <c r="K304" s="7"/>
      <c r="L304" s="7"/>
      <c r="M304" s="7"/>
      <c r="N304" s="7"/>
      <c r="O304" s="7"/>
      <c r="P304" s="7"/>
      <c r="Q304" s="7"/>
      <c r="R304" s="7"/>
      <c r="S304" s="7"/>
      <c r="T304" s="7"/>
      <c r="U304" s="7"/>
      <c r="V304" s="7"/>
      <c r="W304" s="7"/>
    </row>
    <row r="305" spans="1:23" x14ac:dyDescent="0.25">
      <c r="A305" s="1" t="s">
        <v>32</v>
      </c>
      <c r="B305" s="1"/>
      <c r="C305" s="1"/>
      <c r="D305" s="1"/>
      <c r="E305" s="51" t="s">
        <v>43</v>
      </c>
      <c r="F305" s="51">
        <f>IFERROR(SUMIFS($D$74:$D$91,$A$74:$A$91,"=Gravel/sand/clay", $H$74:$H$91,"=Yes"),"")</f>
        <v>0</v>
      </c>
      <c r="G305" s="7"/>
      <c r="H305" s="222"/>
      <c r="I305" s="13"/>
      <c r="J305" s="7"/>
      <c r="K305" s="7"/>
      <c r="L305" s="7"/>
      <c r="M305" s="7"/>
      <c r="N305" s="7"/>
      <c r="O305" s="7"/>
      <c r="P305" s="7"/>
      <c r="Q305" s="7"/>
      <c r="R305" s="7"/>
      <c r="S305" s="7"/>
      <c r="T305" s="7"/>
      <c r="U305" s="7"/>
      <c r="V305" s="7"/>
      <c r="W305" s="7"/>
    </row>
    <row r="306" spans="1:23" x14ac:dyDescent="0.25">
      <c r="A306" s="1" t="s">
        <v>8</v>
      </c>
      <c r="B306" s="1"/>
      <c r="C306" s="1"/>
      <c r="D306" s="1"/>
      <c r="E306" s="51" t="s">
        <v>43</v>
      </c>
      <c r="F306" s="51">
        <f>IFERROR(SUMIFS($D$74:$D$91,$A$74:$A$91,"=HDPE", $H$74:$H$91,"=Yes"),"")</f>
        <v>0</v>
      </c>
      <c r="G306" s="7"/>
      <c r="H306" s="222"/>
      <c r="I306" s="13"/>
      <c r="J306" s="7"/>
      <c r="K306" s="7"/>
      <c r="L306" s="7"/>
      <c r="M306" s="7"/>
      <c r="N306" s="7"/>
      <c r="O306" s="7"/>
      <c r="P306" s="7"/>
      <c r="Q306" s="7"/>
      <c r="R306" s="7"/>
      <c r="S306" s="7"/>
      <c r="T306" s="7"/>
      <c r="U306" s="7"/>
      <c r="V306" s="7"/>
      <c r="W306" s="7"/>
    </row>
    <row r="307" spans="1:23" x14ac:dyDescent="0.25">
      <c r="A307" s="1" t="s">
        <v>44</v>
      </c>
      <c r="B307" s="1"/>
      <c r="C307" s="1"/>
      <c r="D307" s="1"/>
      <c r="E307" s="51" t="s">
        <v>39</v>
      </c>
      <c r="F307" s="51">
        <f>IFERROR(SUMIFS($D$74:$D$91,$A$74:$A$91,"=Photovoltaic system (installed)", $H$74:$H$91,"=Yes"),"")</f>
        <v>0</v>
      </c>
      <c r="G307" s="7"/>
      <c r="H307" s="222"/>
      <c r="I307" s="13"/>
      <c r="J307" s="7" t="s">
        <v>283</v>
      </c>
      <c r="K307" s="7"/>
      <c r="L307" s="7"/>
      <c r="M307" s="7"/>
      <c r="N307" s="7"/>
      <c r="O307" s="7"/>
      <c r="P307" s="7"/>
      <c r="Q307" s="7"/>
      <c r="R307" s="7"/>
      <c r="S307" s="7"/>
      <c r="T307" s="7"/>
      <c r="U307" s="7"/>
      <c r="V307" s="7"/>
      <c r="W307" s="7"/>
    </row>
    <row r="308" spans="1:23" x14ac:dyDescent="0.25">
      <c r="A308" s="1" t="s">
        <v>7</v>
      </c>
      <c r="B308" s="1"/>
      <c r="C308" s="1"/>
      <c r="D308" s="1"/>
      <c r="E308" s="51" t="s">
        <v>43</v>
      </c>
      <c r="F308" s="51">
        <f>IFERROR(SUMIFS($D$74:$D$91,$A$74:$A$91,"=PVC", $H$74:$H$91,"=Yes"),"")</f>
        <v>0</v>
      </c>
      <c r="G308" s="7"/>
      <c r="H308" s="222"/>
      <c r="I308" s="13"/>
      <c r="J308" s="7"/>
      <c r="K308" s="7"/>
      <c r="L308" s="7"/>
      <c r="M308" s="7"/>
      <c r="N308" s="7"/>
      <c r="O308" s="7"/>
      <c r="P308" s="7"/>
      <c r="Q308" s="7"/>
      <c r="R308" s="7"/>
      <c r="S308" s="7"/>
      <c r="T308" s="7"/>
      <c r="U308" s="7"/>
      <c r="V308" s="7"/>
      <c r="W308" s="7"/>
    </row>
    <row r="309" spans="1:23" x14ac:dyDescent="0.25">
      <c r="A309" s="1" t="s">
        <v>757</v>
      </c>
      <c r="B309" s="1"/>
      <c r="C309" s="1"/>
      <c r="D309" s="1"/>
      <c r="E309" s="51" t="s">
        <v>43</v>
      </c>
      <c r="F309" s="51">
        <f>IFERROR(SUMIFS($D$74:$D$91,$A$74:$A$91,"=Portland cement, US average", $H$74:$H$91,"=Yes"),"")</f>
        <v>0</v>
      </c>
      <c r="G309" s="7"/>
      <c r="H309" s="222"/>
      <c r="I309" s="13"/>
      <c r="J309" s="7"/>
      <c r="K309" s="7"/>
      <c r="L309" s="7"/>
      <c r="M309" s="7"/>
      <c r="N309" s="7"/>
      <c r="O309" s="7"/>
      <c r="P309" s="7"/>
      <c r="Q309" s="7"/>
      <c r="R309" s="7"/>
      <c r="S309" s="7"/>
      <c r="T309" s="7"/>
      <c r="U309" s="7"/>
      <c r="V309" s="7"/>
      <c r="W309" s="7"/>
    </row>
    <row r="310" spans="1:23" x14ac:dyDescent="0.25">
      <c r="A310" s="1" t="s">
        <v>639</v>
      </c>
      <c r="B310" s="1"/>
      <c r="C310" s="1"/>
      <c r="D310" s="1"/>
      <c r="E310" s="51" t="s">
        <v>651</v>
      </c>
      <c r="F310" s="51">
        <f>IFERROR(SUMIFS($D$74:$D$91,$A$74:$A$91,"=Ready-mixed concrete, 20 MPa", $H$74:$H$91,"=Yes"),"")</f>
        <v>0</v>
      </c>
      <c r="G310" s="7"/>
      <c r="H310" s="222"/>
      <c r="I310" s="13"/>
      <c r="J310" s="7"/>
      <c r="K310" s="7"/>
      <c r="L310" s="7"/>
      <c r="M310" s="7"/>
      <c r="N310" s="7"/>
      <c r="O310" s="7"/>
      <c r="P310" s="7"/>
      <c r="Q310" s="7"/>
      <c r="R310" s="7"/>
      <c r="S310" s="7"/>
      <c r="T310" s="7"/>
      <c r="U310" s="7"/>
      <c r="V310" s="7"/>
      <c r="W310" s="7"/>
    </row>
    <row r="311" spans="1:23" x14ac:dyDescent="0.25">
      <c r="A311" s="1" t="s">
        <v>640</v>
      </c>
      <c r="B311" s="1"/>
      <c r="C311" s="1"/>
      <c r="D311" s="1"/>
      <c r="E311" s="51" t="s">
        <v>43</v>
      </c>
      <c r="F311" s="51">
        <f>IFERROR(SUMIFS($D$74:$D$91,$A$74:$A$91,"=Round Gravel", $H$74:$H$91,"=Yes"),"")</f>
        <v>0</v>
      </c>
      <c r="G311" s="7"/>
      <c r="H311" s="222"/>
      <c r="I311" s="13"/>
      <c r="J311" s="7"/>
      <c r="K311" s="7"/>
      <c r="L311" s="7"/>
      <c r="M311" s="7"/>
      <c r="N311" s="7"/>
      <c r="O311" s="7"/>
      <c r="P311" s="7"/>
      <c r="Q311" s="7"/>
      <c r="R311" s="7"/>
      <c r="S311" s="7"/>
      <c r="T311" s="7"/>
      <c r="U311" s="7"/>
      <c r="V311" s="7"/>
      <c r="W311" s="7"/>
    </row>
    <row r="312" spans="1:23" x14ac:dyDescent="0.25">
      <c r="A312" s="1" t="s">
        <v>641</v>
      </c>
      <c r="B312" s="1"/>
      <c r="C312" s="1"/>
      <c r="D312" s="1"/>
      <c r="E312" s="51" t="s">
        <v>43</v>
      </c>
      <c r="F312" s="51">
        <f>IFERROR(SUMIFS($D$74:$D$91,$A$74:$A$91,"=Sand", $H$74:$H$91,"=Yes"),"")</f>
        <v>0</v>
      </c>
      <c r="G312" s="7"/>
      <c r="H312" s="39"/>
      <c r="I312" s="13"/>
      <c r="J312" s="7"/>
      <c r="K312" s="7"/>
      <c r="L312" s="7"/>
      <c r="M312" s="7"/>
      <c r="N312" s="7"/>
      <c r="O312" s="7"/>
      <c r="P312" s="7"/>
      <c r="Q312" s="7"/>
      <c r="R312" s="7"/>
      <c r="S312" s="7"/>
      <c r="T312" s="7"/>
      <c r="U312" s="7"/>
      <c r="V312" s="7"/>
      <c r="W312" s="7"/>
    </row>
    <row r="313" spans="1:23" x14ac:dyDescent="0.25">
      <c r="A313" s="1" t="s">
        <v>650</v>
      </c>
      <c r="B313" s="1"/>
      <c r="C313" s="1"/>
      <c r="D313" s="1"/>
      <c r="E313" s="51" t="s">
        <v>43</v>
      </c>
      <c r="F313" s="51">
        <f>IFERROR(SUMIFS($D$74:$D$91,$A$74:$A$91,"=Stainless Steel", $H$74:$H$91,"=Yes"),"")</f>
        <v>0</v>
      </c>
      <c r="G313" s="7"/>
      <c r="H313" s="39"/>
      <c r="I313" s="13"/>
      <c r="J313" s="7"/>
      <c r="K313" s="7"/>
      <c r="L313" s="7"/>
      <c r="M313" s="7"/>
      <c r="N313" s="7"/>
      <c r="O313" s="7"/>
      <c r="P313" s="7"/>
      <c r="Q313" s="7"/>
      <c r="R313" s="7"/>
      <c r="S313" s="7"/>
      <c r="T313" s="7"/>
      <c r="U313" s="7"/>
      <c r="V313" s="7"/>
      <c r="W313" s="7"/>
    </row>
    <row r="314" spans="1:23" x14ac:dyDescent="0.25">
      <c r="A314" s="1" t="s">
        <v>9</v>
      </c>
      <c r="B314" s="1"/>
      <c r="C314" s="1"/>
      <c r="D314" s="1"/>
      <c r="E314" s="51" t="s">
        <v>43</v>
      </c>
      <c r="F314" s="51">
        <f>IFERROR(SUMIFS($D$74:$D$91,$A$74:$A$91,"=Steel", $H$74:$H$91,"=Yes"),"")</f>
        <v>0</v>
      </c>
      <c r="G314" s="7"/>
      <c r="H314" s="39"/>
      <c r="I314" s="13"/>
      <c r="J314" s="7"/>
      <c r="K314" s="7"/>
      <c r="L314" s="7"/>
      <c r="M314" s="7"/>
      <c r="N314" s="7"/>
      <c r="O314" s="7"/>
      <c r="P314" s="7"/>
      <c r="Q314" s="7"/>
      <c r="R314" s="7"/>
      <c r="S314" s="7"/>
      <c r="T314" s="7"/>
      <c r="U314" s="7"/>
      <c r="V314" s="7"/>
      <c r="W314" s="7"/>
    </row>
    <row r="315" spans="1:23" x14ac:dyDescent="0.25">
      <c r="A315" s="1" t="s">
        <v>45</v>
      </c>
      <c r="B315" s="1"/>
      <c r="C315" s="1"/>
      <c r="D315" s="1"/>
      <c r="E315" s="51" t="s">
        <v>43</v>
      </c>
      <c r="F315" s="51">
        <f>IFERROR(SUMIFS($D$74:$D$91,$A$74:$A$91,"=Other refined construction materials", $H$74:$H$91,"=Yes"),"")</f>
        <v>0</v>
      </c>
      <c r="G315" s="7"/>
      <c r="H315" s="39"/>
      <c r="I315" s="13"/>
      <c r="J315" s="7"/>
      <c r="K315" s="7"/>
      <c r="L315" s="7"/>
      <c r="M315" s="7"/>
      <c r="N315" s="7"/>
      <c r="O315" s="7"/>
      <c r="P315" s="7"/>
      <c r="Q315" s="7"/>
      <c r="R315" s="7"/>
      <c r="S315" s="7"/>
      <c r="T315" s="7"/>
      <c r="U315" s="7"/>
      <c r="V315" s="7"/>
      <c r="W315" s="7"/>
    </row>
    <row r="316" spans="1:23" x14ac:dyDescent="0.25">
      <c r="A316" s="1" t="s">
        <v>46</v>
      </c>
      <c r="B316" s="1"/>
      <c r="C316" s="1"/>
      <c r="D316" s="1"/>
      <c r="E316" s="51" t="s">
        <v>43</v>
      </c>
      <c r="F316" s="51">
        <f>IFERROR(SUMIFS($D$74:$D$91,$A$74:$A$91,"=Other unrefined construction materials", $H$74:$H$91,"=Yes"),"")</f>
        <v>0</v>
      </c>
      <c r="G316" s="7"/>
      <c r="H316" s="39"/>
      <c r="I316" s="13"/>
      <c r="J316" s="7"/>
      <c r="K316" s="7"/>
      <c r="L316" s="7"/>
      <c r="M316" s="7"/>
      <c r="N316" s="7"/>
      <c r="O316" s="7"/>
      <c r="P316" s="7"/>
      <c r="Q316" s="7"/>
      <c r="R316" s="7"/>
      <c r="S316" s="7"/>
      <c r="T316" s="7"/>
      <c r="U316" s="7"/>
      <c r="V316" s="7"/>
      <c r="W316" s="7"/>
    </row>
    <row r="317" spans="1:23" x14ac:dyDescent="0.25">
      <c r="A317" s="1"/>
      <c r="B317" s="1"/>
      <c r="C317" s="1"/>
      <c r="D317" s="1"/>
      <c r="E317" s="51"/>
      <c r="F317" s="51"/>
      <c r="G317" s="7"/>
      <c r="H317" s="39"/>
      <c r="I317" s="13"/>
      <c r="J317" s="7"/>
      <c r="K317" s="7"/>
      <c r="L317" s="7"/>
      <c r="M317" s="7"/>
      <c r="N317" s="7"/>
      <c r="O317" s="7"/>
      <c r="P317" s="7"/>
      <c r="Q317" s="7"/>
      <c r="R317" s="7"/>
      <c r="S317" s="7"/>
      <c r="T317" s="7"/>
      <c r="U317" s="7"/>
      <c r="V317" s="7"/>
      <c r="W317" s="7"/>
    </row>
    <row r="318" spans="1:23" x14ac:dyDescent="0.25">
      <c r="A318" s="116" t="s">
        <v>215</v>
      </c>
      <c r="B318" s="1"/>
      <c r="C318" s="1"/>
      <c r="D318" s="1"/>
      <c r="E318" s="51"/>
      <c r="F318" s="51"/>
      <c r="G318" s="7"/>
      <c r="H318" s="39"/>
      <c r="I318" s="13"/>
      <c r="J318" s="7"/>
      <c r="K318" s="7"/>
      <c r="L318" s="7"/>
      <c r="M318" s="7"/>
      <c r="N318" s="7"/>
      <c r="O318" s="7"/>
      <c r="P318" s="7"/>
      <c r="Q318" s="7"/>
      <c r="R318" s="7"/>
      <c r="S318" s="7"/>
      <c r="T318" s="7"/>
      <c r="U318" s="7"/>
      <c r="V318" s="7"/>
      <c r="W318" s="7"/>
    </row>
    <row r="319" spans="1:23" x14ac:dyDescent="0.25">
      <c r="A319" s="1" t="s">
        <v>47</v>
      </c>
      <c r="B319" s="1"/>
      <c r="C319" s="1"/>
      <c r="D319" s="1"/>
      <c r="E319" s="51" t="s">
        <v>3</v>
      </c>
      <c r="F319" s="51">
        <f>IFERROR(SUMIFS($D$74:$D$91,$A$74:$A$91,"=Cheese Whey", $H$74:$H$91,"=Yes"),"")</f>
        <v>0</v>
      </c>
      <c r="G319" s="7"/>
      <c r="H319" s="39"/>
      <c r="I319" s="13"/>
      <c r="J319" s="7"/>
      <c r="K319" s="7"/>
      <c r="L319" s="7"/>
      <c r="M319" s="7"/>
      <c r="N319" s="7"/>
      <c r="O319" s="7"/>
      <c r="P319" s="7"/>
      <c r="Q319" s="7"/>
      <c r="R319" s="7"/>
      <c r="S319" s="7"/>
      <c r="T319" s="7"/>
      <c r="U319" s="7"/>
      <c r="V319" s="7"/>
      <c r="W319" s="7"/>
    </row>
    <row r="320" spans="1:23" x14ac:dyDescent="0.25">
      <c r="A320" s="1" t="s">
        <v>12</v>
      </c>
      <c r="B320" s="1"/>
      <c r="C320" s="1"/>
      <c r="D320" s="1"/>
      <c r="E320" s="51" t="s">
        <v>3</v>
      </c>
      <c r="F320" s="51">
        <f>IFERROR(SUMIFS($D$74:$D$91,$A$74:$A$91,"=Emulsified vegetable oil", $H$74:$H$91,"=Yes"),"")</f>
        <v>0</v>
      </c>
      <c r="G320" s="7"/>
      <c r="H320" s="39"/>
      <c r="I320" s="13"/>
      <c r="J320" s="7"/>
      <c r="K320" s="7"/>
      <c r="L320" s="7"/>
      <c r="M320" s="7"/>
      <c r="N320" s="7"/>
      <c r="O320" s="7"/>
      <c r="P320" s="7"/>
      <c r="Q320" s="7"/>
      <c r="R320" s="7"/>
      <c r="S320" s="7"/>
      <c r="T320" s="7"/>
      <c r="U320" s="7"/>
      <c r="V320" s="7"/>
      <c r="W320" s="7"/>
    </row>
    <row r="321" spans="1:23" x14ac:dyDescent="0.25">
      <c r="A321" s="1" t="s">
        <v>642</v>
      </c>
      <c r="B321" s="1"/>
      <c r="C321" s="1"/>
      <c r="D321" s="1"/>
      <c r="E321" s="51" t="s">
        <v>3</v>
      </c>
      <c r="F321" s="51">
        <f>IFERROR(SUMIFS($D$74:$D$91,$A$74:$A$91,"=Granular activated carbon, primary", $H$74:$H$91,"=Yes"),"")</f>
        <v>0</v>
      </c>
      <c r="G321" s="7"/>
      <c r="H321" s="39"/>
      <c r="I321" s="13"/>
      <c r="J321" s="7"/>
      <c r="K321" s="7"/>
      <c r="L321" s="7"/>
      <c r="M321" s="7"/>
      <c r="N321" s="7"/>
      <c r="O321" s="7"/>
      <c r="P321" s="7"/>
      <c r="Q321" s="7"/>
      <c r="R321" s="7"/>
      <c r="S321" s="7"/>
      <c r="T321" s="7"/>
      <c r="U321" s="7"/>
      <c r="V321" s="7"/>
      <c r="W321" s="7"/>
    </row>
    <row r="322" spans="1:23" x14ac:dyDescent="0.25">
      <c r="A322" s="1" t="s">
        <v>643</v>
      </c>
      <c r="B322" s="1"/>
      <c r="C322" s="1"/>
      <c r="D322" s="1"/>
      <c r="E322" s="51" t="s">
        <v>3</v>
      </c>
      <c r="F322" s="51">
        <f>IFERROR(SUMIFS($D$74:$D$91,$A$74:$A$91,"=Granular activated carbon, regenerated", $H$74:$H$91,"=Yes"),"")</f>
        <v>0</v>
      </c>
      <c r="G322" s="7"/>
      <c r="H322" s="39"/>
      <c r="I322" s="13"/>
      <c r="J322" s="7"/>
      <c r="K322" s="7"/>
      <c r="L322" s="7"/>
      <c r="M322" s="7"/>
      <c r="N322" s="7"/>
      <c r="O322" s="7"/>
      <c r="P322" s="7"/>
      <c r="Q322" s="7"/>
      <c r="R322" s="7"/>
      <c r="S322" s="7"/>
      <c r="T322" s="7"/>
      <c r="U322" s="7"/>
      <c r="V322" s="7"/>
      <c r="W322" s="7"/>
    </row>
    <row r="323" spans="1:23" x14ac:dyDescent="0.25">
      <c r="A323" s="1" t="s">
        <v>644</v>
      </c>
      <c r="B323" s="1"/>
      <c r="C323" s="1"/>
      <c r="D323" s="1"/>
      <c r="E323" s="51" t="s">
        <v>3</v>
      </c>
      <c r="F323" s="51">
        <f>IFERROR(SUMIFS($D$74:$D$91,$A$74:$A$91,"=Hydrogen Peroxide, 50% in H2O", $H$74:$H$91,"=Yes"),"")</f>
        <v>0</v>
      </c>
      <c r="G323" s="7"/>
      <c r="H323" s="39"/>
      <c r="I323" s="13"/>
      <c r="J323" s="7"/>
      <c r="K323" s="7"/>
      <c r="L323" s="7"/>
      <c r="M323" s="7"/>
      <c r="N323" s="7"/>
      <c r="O323" s="7"/>
      <c r="P323" s="7"/>
      <c r="Q323" s="7"/>
      <c r="R323" s="7"/>
      <c r="S323" s="7"/>
      <c r="T323" s="7"/>
      <c r="U323" s="7"/>
      <c r="V323" s="7"/>
      <c r="W323" s="7"/>
    </row>
    <row r="324" spans="1:23" x14ac:dyDescent="0.25">
      <c r="A324" s="1" t="s">
        <v>645</v>
      </c>
      <c r="B324" s="1"/>
      <c r="C324" s="1"/>
      <c r="D324" s="1"/>
      <c r="E324" s="51" t="s">
        <v>3</v>
      </c>
      <c r="F324" s="51">
        <f>IFERROR(SUMIFS($D$74:$D$91,$A$74:$A$91,"=Iron (II) Sulfate", $H$74:$H$91,"=Yes"),"")</f>
        <v>0</v>
      </c>
      <c r="G324" s="7"/>
      <c r="H324" s="39"/>
      <c r="I324" s="13"/>
      <c r="J324" s="7"/>
      <c r="K324" s="7"/>
      <c r="L324" s="7"/>
      <c r="M324" s="7"/>
      <c r="N324" s="7"/>
      <c r="O324" s="7"/>
      <c r="P324" s="7"/>
      <c r="Q324" s="7"/>
      <c r="R324" s="7"/>
      <c r="S324" s="7"/>
      <c r="T324" s="7"/>
      <c r="U324" s="7"/>
      <c r="V324" s="7"/>
      <c r="W324" s="7"/>
    </row>
    <row r="325" spans="1:23" x14ac:dyDescent="0.25">
      <c r="A325" s="1" t="s">
        <v>646</v>
      </c>
      <c r="B325" s="1"/>
      <c r="C325" s="1"/>
      <c r="D325" s="1"/>
      <c r="E325" s="51" t="s">
        <v>3</v>
      </c>
      <c r="F325" s="51">
        <f>IFERROR(SUMIFS($D$74:$D$91,$A$74:$A$91,"=Lime, Hydrated, Packed", $H$74:$H$91,"=Yes"),"")</f>
        <v>0</v>
      </c>
      <c r="G325" s="7"/>
      <c r="H325" s="39"/>
      <c r="I325" s="13"/>
      <c r="J325" s="7"/>
      <c r="K325" s="7"/>
      <c r="L325" s="7"/>
      <c r="M325" s="7"/>
      <c r="N325" s="7"/>
      <c r="O325" s="7"/>
      <c r="P325" s="7"/>
      <c r="Q325" s="7"/>
      <c r="R325" s="7"/>
      <c r="S325" s="7"/>
      <c r="T325" s="7"/>
      <c r="U325" s="7"/>
      <c r="V325" s="7"/>
      <c r="W325" s="7"/>
    </row>
    <row r="326" spans="1:23" x14ac:dyDescent="0.25">
      <c r="A326" s="1" t="s">
        <v>11</v>
      </c>
      <c r="B326" s="1"/>
      <c r="C326" s="1"/>
      <c r="D326" s="1"/>
      <c r="E326" s="51" t="s">
        <v>3</v>
      </c>
      <c r="F326" s="51">
        <f>IFERROR(SUMIFS($D$74:$D$91,$A$74:$A$91,"=Molasses", $H$74:$H$91,"=Yes"),"")</f>
        <v>0</v>
      </c>
      <c r="G326" s="7"/>
      <c r="H326" s="39"/>
      <c r="I326" s="13"/>
      <c r="J326" s="7"/>
      <c r="K326" s="7"/>
      <c r="L326" s="7"/>
      <c r="M326" s="7"/>
      <c r="N326" s="7"/>
      <c r="O326" s="7"/>
      <c r="P326" s="7"/>
      <c r="Q326" s="7"/>
      <c r="R326" s="7"/>
      <c r="S326" s="7"/>
      <c r="T326" s="7"/>
      <c r="U326" s="7"/>
      <c r="V326" s="7"/>
      <c r="W326" s="7"/>
    </row>
    <row r="327" spans="1:23" x14ac:dyDescent="0.25">
      <c r="A327" s="1" t="s">
        <v>647</v>
      </c>
      <c r="B327" s="1"/>
      <c r="C327" s="1"/>
      <c r="D327" s="1"/>
      <c r="E327" s="51" t="s">
        <v>3</v>
      </c>
      <c r="F327" s="51">
        <f>IFERROR(SUMIFS($D$74:$D$91,$A$74:$A$91,"=Phosphoric Acid, 70% in H2O", $H$74:$H$91,"=Yes"),"")</f>
        <v>0</v>
      </c>
      <c r="G327" s="7"/>
      <c r="H327" s="39"/>
      <c r="I327" s="13"/>
      <c r="J327" s="7"/>
      <c r="K327" s="7"/>
      <c r="L327" s="7"/>
      <c r="M327" s="7"/>
      <c r="N327" s="7"/>
      <c r="O327" s="7"/>
      <c r="P327" s="7"/>
      <c r="Q327" s="7"/>
      <c r="R327" s="7"/>
      <c r="S327" s="7"/>
      <c r="T327" s="7"/>
      <c r="U327" s="7"/>
      <c r="V327" s="7"/>
      <c r="W327" s="7"/>
    </row>
    <row r="328" spans="1:23" x14ac:dyDescent="0.25">
      <c r="A328" s="1" t="s">
        <v>648</v>
      </c>
      <c r="B328" s="1"/>
      <c r="C328" s="1"/>
      <c r="D328" s="1"/>
      <c r="E328" s="51" t="s">
        <v>3</v>
      </c>
      <c r="F328" s="51">
        <f>IFERROR(SUMIFS($D$74:$D$91,$A$74:$A$91,"=Potassium Permanganate", $H$74:$H$91,"=Yes"),"")</f>
        <v>0</v>
      </c>
      <c r="G328" s="7"/>
      <c r="H328" s="39"/>
      <c r="I328" s="13"/>
      <c r="J328" s="7"/>
      <c r="K328" s="7"/>
      <c r="L328" s="7"/>
      <c r="M328" s="7"/>
      <c r="N328" s="7"/>
      <c r="O328" s="7"/>
      <c r="P328" s="7"/>
      <c r="Q328" s="7"/>
      <c r="R328" s="7"/>
      <c r="S328" s="7"/>
      <c r="T328" s="7"/>
      <c r="U328" s="7"/>
      <c r="V328" s="7"/>
      <c r="W328" s="7"/>
    </row>
    <row r="329" spans="1:23" x14ac:dyDescent="0.25">
      <c r="A329" s="1" t="s">
        <v>649</v>
      </c>
      <c r="B329" s="1"/>
      <c r="C329" s="1"/>
      <c r="D329" s="1"/>
      <c r="E329" s="51" t="s">
        <v>3</v>
      </c>
      <c r="F329" s="51">
        <f>IFERROR(SUMIFS($D$74:$D$91,$A$74:$A$91,"=Sodium Hydroxide, 50% in H2O ", $H$74:$H$91,"=Yes"),"")</f>
        <v>0</v>
      </c>
      <c r="G329" s="7"/>
      <c r="H329" s="39"/>
      <c r="I329" s="13"/>
      <c r="J329" s="7"/>
      <c r="K329" s="7"/>
      <c r="L329" s="7"/>
      <c r="M329" s="7"/>
      <c r="N329" s="7"/>
      <c r="O329" s="7"/>
      <c r="P329" s="7"/>
      <c r="Q329" s="7"/>
      <c r="R329" s="7"/>
      <c r="S329" s="7"/>
      <c r="T329" s="7"/>
      <c r="U329" s="7"/>
      <c r="V329" s="7"/>
      <c r="W329" s="7"/>
    </row>
    <row r="330" spans="1:23" x14ac:dyDescent="0.25">
      <c r="A330" s="1" t="s">
        <v>652</v>
      </c>
      <c r="B330" s="1"/>
      <c r="C330" s="1"/>
      <c r="D330" s="1"/>
      <c r="E330" s="51" t="s">
        <v>3</v>
      </c>
      <c r="F330" s="51">
        <f>IFERROR(SUMIFS($D$74:$D$91,$A$74:$A$91,"=Other Treatment Chemicals &amp; Materials", $H$74:$H$91,"=Yes"),"")</f>
        <v>0</v>
      </c>
      <c r="G330" s="7"/>
      <c r="H330" s="221"/>
      <c r="I330" s="13"/>
      <c r="J330" s="7"/>
      <c r="K330" s="7"/>
      <c r="L330" s="7"/>
      <c r="M330" s="7"/>
      <c r="N330" s="7"/>
      <c r="O330" s="7"/>
      <c r="P330" s="7"/>
      <c r="Q330" s="7"/>
      <c r="R330" s="7"/>
      <c r="S330" s="7"/>
      <c r="T330" s="7"/>
      <c r="U330" s="7"/>
      <c r="V330" s="7"/>
      <c r="W330" s="7"/>
    </row>
    <row r="331" spans="1:23" x14ac:dyDescent="0.25">
      <c r="A331" s="1"/>
      <c r="B331" s="1"/>
      <c r="C331" s="1"/>
      <c r="D331" s="1"/>
      <c r="E331" s="1"/>
      <c r="F331" s="1"/>
      <c r="G331" s="7"/>
      <c r="H331" s="39"/>
      <c r="I331" s="13"/>
      <c r="J331" s="7"/>
      <c r="K331" s="7"/>
      <c r="L331" s="7"/>
      <c r="M331" s="7"/>
      <c r="N331" s="7"/>
      <c r="O331" s="7"/>
      <c r="P331" s="7"/>
      <c r="Q331" s="7"/>
      <c r="R331" s="7"/>
      <c r="S331" s="7"/>
      <c r="T331" s="7"/>
      <c r="U331" s="7"/>
      <c r="V331" s="7"/>
      <c r="W331" s="7"/>
    </row>
    <row r="332" spans="1:23" x14ac:dyDescent="0.25">
      <c r="A332" s="116" t="s">
        <v>214</v>
      </c>
      <c r="B332" s="1"/>
      <c r="C332" s="1"/>
      <c r="D332" s="1"/>
      <c r="E332" s="51"/>
      <c r="F332" s="51"/>
      <c r="G332" s="7"/>
      <c r="H332" s="39"/>
      <c r="I332" s="13"/>
      <c r="J332" s="7"/>
      <c r="K332" s="7"/>
      <c r="L332" s="7"/>
      <c r="M332" s="7"/>
      <c r="N332" s="7"/>
      <c r="O332" s="7"/>
      <c r="P332" s="7"/>
      <c r="Q332" s="7"/>
      <c r="R332" s="7"/>
      <c r="S332" s="7"/>
      <c r="T332" s="7"/>
      <c r="U332" s="7"/>
      <c r="V332" s="7"/>
      <c r="W332" s="7"/>
    </row>
    <row r="333" spans="1:23" x14ac:dyDescent="0.25">
      <c r="A333" s="1" t="s">
        <v>208</v>
      </c>
      <c r="B333" s="1"/>
      <c r="C333" s="1"/>
      <c r="D333" s="1"/>
      <c r="E333" s="51" t="s">
        <v>4</v>
      </c>
      <c r="F333" s="51">
        <f>IFERROR(SUMIFS($E$74:$E$91,$G$74:$G$91,"=Virgin", $F$74:$F$91,"=Refined"),"")</f>
        <v>0</v>
      </c>
      <c r="G333" s="7"/>
      <c r="H333" s="39"/>
      <c r="I333" s="13"/>
      <c r="J333" s="7"/>
      <c r="K333" s="7"/>
      <c r="L333" s="7"/>
      <c r="M333" s="7"/>
      <c r="N333" s="7"/>
      <c r="O333" s="7"/>
      <c r="P333" s="7"/>
      <c r="Q333" s="7"/>
      <c r="R333" s="7"/>
      <c r="S333" s="7"/>
      <c r="T333" s="7"/>
      <c r="U333" s="7"/>
      <c r="V333" s="7"/>
      <c r="W333" s="7"/>
    </row>
    <row r="334" spans="1:23" x14ac:dyDescent="0.25">
      <c r="A334" s="1" t="s">
        <v>209</v>
      </c>
      <c r="B334" s="1"/>
      <c r="C334" s="1"/>
      <c r="D334" s="1"/>
      <c r="E334" s="51" t="s">
        <v>4</v>
      </c>
      <c r="F334" s="51">
        <f>IFERROR(SUMIFS($E$74:$E$91,$G$74:$G$91,"=Recycled", $F$74:$F$91,"=Refined"),"")</f>
        <v>0</v>
      </c>
      <c r="G334" s="7"/>
      <c r="H334" s="39"/>
      <c r="I334" s="13"/>
      <c r="J334" s="7"/>
      <c r="K334" s="7"/>
      <c r="L334" s="7"/>
      <c r="M334" s="7"/>
      <c r="N334" s="7"/>
      <c r="O334" s="7"/>
      <c r="P334" s="7"/>
      <c r="Q334" s="7"/>
      <c r="R334" s="7"/>
      <c r="S334" s="7"/>
      <c r="T334" s="7"/>
      <c r="U334" s="7"/>
      <c r="V334" s="7"/>
      <c r="W334" s="7"/>
    </row>
    <row r="335" spans="1:23" x14ac:dyDescent="0.25">
      <c r="A335" s="1" t="s">
        <v>210</v>
      </c>
      <c r="B335" s="1"/>
      <c r="C335" s="1"/>
      <c r="D335" s="1"/>
      <c r="E335" s="51" t="s">
        <v>4</v>
      </c>
      <c r="F335" s="51">
        <f>IFERROR(SUMIFS($E$74:$E$91,$G$74:$G$91,"=Reused", $F$74:$F$91,"=Refined"),"")</f>
        <v>0</v>
      </c>
      <c r="G335" s="7"/>
      <c r="H335" s="39"/>
      <c r="I335" s="13"/>
      <c r="J335" s="7"/>
      <c r="K335" s="7"/>
      <c r="L335" s="7"/>
      <c r="M335" s="7"/>
      <c r="N335" s="7"/>
      <c r="O335" s="7"/>
      <c r="P335" s="7"/>
      <c r="Q335" s="7"/>
      <c r="R335" s="7"/>
      <c r="S335" s="7"/>
      <c r="T335" s="7"/>
      <c r="U335" s="7"/>
      <c r="V335" s="7"/>
      <c r="W335" s="7"/>
    </row>
    <row r="336" spans="1:23" x14ac:dyDescent="0.25">
      <c r="A336" s="1" t="s">
        <v>191</v>
      </c>
      <c r="B336" s="1"/>
      <c r="C336" s="1"/>
      <c r="D336" s="1"/>
      <c r="E336" s="51" t="s">
        <v>4</v>
      </c>
      <c r="F336" s="51">
        <f>IFERROR(SUMIF($F$74:$F$91,"=Refined",$E$74:$E$91),"")</f>
        <v>0</v>
      </c>
      <c r="G336" s="7"/>
      <c r="H336" s="39"/>
      <c r="I336" s="13"/>
      <c r="J336" s="7"/>
      <c r="K336" s="7"/>
      <c r="L336" s="7"/>
      <c r="M336" s="7"/>
      <c r="N336" s="7"/>
      <c r="O336" s="7"/>
      <c r="P336" s="7"/>
      <c r="Q336" s="7"/>
      <c r="R336" s="7"/>
      <c r="S336" s="7"/>
      <c r="T336" s="7"/>
      <c r="U336" s="7"/>
      <c r="V336" s="7"/>
      <c r="W336" s="7"/>
    </row>
    <row r="337" spans="1:23" x14ac:dyDescent="0.25">
      <c r="A337" s="1" t="s">
        <v>211</v>
      </c>
      <c r="B337" s="1"/>
      <c r="C337" s="1"/>
      <c r="D337" s="1"/>
      <c r="E337" s="51" t="s">
        <v>4</v>
      </c>
      <c r="F337" s="51">
        <f>IFERROR(SUMIFS($E$74:$E$91,$G$74:$G$91,"=Virgin", $F$74:$F$91,"=Unrefined"),"")</f>
        <v>0</v>
      </c>
      <c r="G337" s="7"/>
      <c r="H337" s="39"/>
      <c r="I337" s="13"/>
      <c r="J337" s="7"/>
      <c r="K337" s="7"/>
      <c r="L337" s="7"/>
      <c r="M337" s="7"/>
      <c r="N337" s="7"/>
      <c r="O337" s="7"/>
      <c r="P337" s="7"/>
      <c r="Q337" s="7"/>
      <c r="R337" s="7"/>
      <c r="S337" s="7"/>
      <c r="T337" s="7"/>
      <c r="U337" s="7"/>
      <c r="V337" s="7"/>
      <c r="W337" s="7"/>
    </row>
    <row r="338" spans="1:23" x14ac:dyDescent="0.25">
      <c r="A338" s="1" t="s">
        <v>212</v>
      </c>
      <c r="B338" s="1"/>
      <c r="C338" s="1"/>
      <c r="D338" s="1"/>
      <c r="E338" s="51" t="s">
        <v>4</v>
      </c>
      <c r="F338" s="51">
        <f>IFERROR(SUMIFS($E$74:$E$91,$G$74:$G$91,"=Recycled", $F$74:$F$91,"=Unrefined"),"")</f>
        <v>0</v>
      </c>
      <c r="G338" s="7"/>
      <c r="H338" s="39"/>
      <c r="I338" s="13"/>
      <c r="J338" s="7"/>
      <c r="K338" s="7"/>
      <c r="L338" s="7"/>
      <c r="M338" s="7"/>
      <c r="N338" s="7"/>
      <c r="O338" s="7"/>
      <c r="P338" s="7"/>
      <c r="Q338" s="7"/>
      <c r="R338" s="7"/>
      <c r="S338" s="7"/>
      <c r="T338" s="7"/>
      <c r="U338" s="7"/>
      <c r="V338" s="7"/>
      <c r="W338" s="7"/>
    </row>
    <row r="339" spans="1:23" x14ac:dyDescent="0.25">
      <c r="A339" s="1" t="s">
        <v>213</v>
      </c>
      <c r="B339" s="1"/>
      <c r="C339" s="1"/>
      <c r="D339" s="1"/>
      <c r="E339" s="51" t="s">
        <v>4</v>
      </c>
      <c r="F339" s="51">
        <f>IFERROR(SUMIFS($E$74:$E$91,$G$74:$G$91,"=Reused", $F$74:$F$91,"=Unrefined"),"")</f>
        <v>0</v>
      </c>
      <c r="G339" s="7"/>
      <c r="H339" s="39"/>
      <c r="I339" s="13"/>
      <c r="J339" s="7"/>
      <c r="K339" s="7"/>
      <c r="L339" s="7"/>
      <c r="M339" s="7"/>
      <c r="N339" s="7"/>
      <c r="O339" s="7"/>
      <c r="P339" s="7"/>
      <c r="Q339" s="7"/>
      <c r="R339" s="7"/>
      <c r="S339" s="7"/>
      <c r="T339" s="7"/>
      <c r="U339" s="7"/>
      <c r="V339" s="7"/>
      <c r="W339" s="7"/>
    </row>
    <row r="340" spans="1:23" x14ac:dyDescent="0.25">
      <c r="A340" s="1" t="s">
        <v>192</v>
      </c>
      <c r="B340" s="1"/>
      <c r="C340" s="1"/>
      <c r="D340" s="1"/>
      <c r="E340" s="51" t="s">
        <v>4</v>
      </c>
      <c r="F340" s="51">
        <f>IFERROR(SUMIF($F$74:$F$91,"=Unrefined",$E$74:$E$91),"")</f>
        <v>0</v>
      </c>
      <c r="G340" s="7"/>
      <c r="H340" s="39"/>
      <c r="I340" s="13"/>
      <c r="J340" s="7"/>
      <c r="K340" s="7"/>
      <c r="L340" s="7"/>
      <c r="M340" s="7"/>
      <c r="N340" s="7"/>
      <c r="O340" s="7"/>
      <c r="P340" s="7"/>
      <c r="Q340" s="7"/>
      <c r="R340" s="7"/>
      <c r="S340" s="7"/>
      <c r="T340" s="7"/>
      <c r="U340" s="7"/>
      <c r="V340" s="7"/>
      <c r="W340" s="7"/>
    </row>
    <row r="341" spans="1:23" x14ac:dyDescent="0.25">
      <c r="A341" s="1"/>
      <c r="B341" s="1"/>
      <c r="C341" s="1"/>
      <c r="D341" s="1"/>
      <c r="E341" s="51"/>
      <c r="F341" s="51"/>
      <c r="G341" s="7"/>
      <c r="H341" s="39"/>
      <c r="I341" s="13"/>
      <c r="J341" s="7"/>
      <c r="K341" s="7"/>
      <c r="L341" s="7"/>
      <c r="M341" s="7"/>
      <c r="N341" s="7"/>
      <c r="O341" s="7"/>
      <c r="P341" s="7"/>
      <c r="Q341" s="7"/>
      <c r="R341" s="7"/>
      <c r="S341" s="7"/>
      <c r="T341" s="7"/>
      <c r="U341" s="7"/>
      <c r="V341" s="7"/>
      <c r="W341" s="7"/>
    </row>
    <row r="342" spans="1:23" x14ac:dyDescent="0.25">
      <c r="A342" s="116" t="s">
        <v>128</v>
      </c>
      <c r="B342" s="1"/>
      <c r="C342" s="1"/>
      <c r="D342" s="1"/>
      <c r="E342" s="51"/>
      <c r="F342" s="51"/>
      <c r="G342" s="7"/>
      <c r="H342" s="221"/>
      <c r="I342" s="13"/>
      <c r="J342" s="7"/>
      <c r="K342" s="7"/>
      <c r="L342" s="7"/>
      <c r="M342" s="7"/>
      <c r="N342" s="7"/>
      <c r="O342" s="7"/>
      <c r="P342" s="7"/>
      <c r="Q342" s="7"/>
      <c r="R342" s="7"/>
      <c r="S342" s="7"/>
      <c r="T342" s="7"/>
      <c r="U342" s="7"/>
      <c r="V342" s="7"/>
      <c r="W342" s="7"/>
    </row>
    <row r="343" spans="1:23" x14ac:dyDescent="0.25">
      <c r="A343" s="1" t="s">
        <v>172</v>
      </c>
      <c r="B343" s="1"/>
      <c r="C343" s="1"/>
      <c r="D343" s="1"/>
      <c r="E343" s="51" t="s">
        <v>93</v>
      </c>
      <c r="F343" s="51">
        <f>F292+F220</f>
        <v>0</v>
      </c>
      <c r="G343" s="7"/>
      <c r="H343" s="39"/>
      <c r="I343" s="13"/>
      <c r="J343" s="7"/>
      <c r="K343" s="7"/>
      <c r="L343" s="7"/>
      <c r="M343" s="7"/>
      <c r="N343" s="7"/>
      <c r="O343" s="7"/>
      <c r="P343" s="7"/>
      <c r="Q343" s="7"/>
      <c r="R343" s="7"/>
      <c r="S343" s="7"/>
      <c r="T343" s="7"/>
      <c r="U343" s="7"/>
      <c r="V343" s="7"/>
      <c r="W343" s="7"/>
    </row>
    <row r="344" spans="1:23" x14ac:dyDescent="0.25">
      <c r="A344" s="1" t="s">
        <v>173</v>
      </c>
      <c r="B344" s="1"/>
      <c r="C344" s="1"/>
      <c r="D344" s="1"/>
      <c r="E344" s="51" t="s">
        <v>93</v>
      </c>
      <c r="F344" s="51">
        <f>F285+SUM(F226:F229)</f>
        <v>0</v>
      </c>
      <c r="G344" s="7"/>
      <c r="H344" s="39"/>
      <c r="I344" s="13"/>
      <c r="J344" s="7"/>
      <c r="K344" s="7"/>
      <c r="L344" s="7"/>
      <c r="M344" s="7"/>
      <c r="N344" s="7"/>
      <c r="O344" s="7"/>
      <c r="P344" s="7"/>
      <c r="Q344" s="7"/>
      <c r="R344" s="7"/>
      <c r="S344" s="7"/>
      <c r="T344" s="7"/>
      <c r="U344" s="7"/>
      <c r="V344" s="7"/>
      <c r="W344" s="7"/>
    </row>
    <row r="345" spans="1:23" x14ac:dyDescent="0.25">
      <c r="A345" s="1" t="s">
        <v>174</v>
      </c>
      <c r="B345" s="1"/>
      <c r="C345" s="1"/>
      <c r="D345" s="1"/>
      <c r="E345" s="51" t="s">
        <v>93</v>
      </c>
      <c r="F345" s="51">
        <f>F286+SUM(F230:F232)</f>
        <v>0</v>
      </c>
      <c r="G345" s="7"/>
      <c r="H345" s="39"/>
      <c r="I345" s="13"/>
      <c r="J345" s="7"/>
      <c r="K345" s="7"/>
      <c r="L345" s="7"/>
      <c r="M345" s="7"/>
      <c r="N345" s="7"/>
      <c r="O345" s="7"/>
      <c r="P345" s="7"/>
      <c r="Q345" s="7"/>
      <c r="R345" s="7"/>
      <c r="S345" s="7"/>
      <c r="T345" s="7"/>
      <c r="U345" s="7"/>
      <c r="V345" s="7"/>
      <c r="W345" s="7"/>
    </row>
    <row r="346" spans="1:23" x14ac:dyDescent="0.25">
      <c r="A346" s="1" t="s">
        <v>686</v>
      </c>
      <c r="B346" s="1"/>
      <c r="C346" s="1"/>
      <c r="D346" s="1"/>
      <c r="E346" s="51" t="s">
        <v>138</v>
      </c>
      <c r="F346" s="51">
        <f>F234+F235</f>
        <v>0</v>
      </c>
      <c r="G346" s="7"/>
      <c r="H346" s="39"/>
      <c r="I346" s="13"/>
      <c r="J346" s="7"/>
      <c r="K346" s="7"/>
      <c r="L346" s="7"/>
      <c r="M346" s="7"/>
      <c r="N346" s="7"/>
      <c r="O346" s="7"/>
      <c r="P346" s="7"/>
      <c r="Q346" s="7"/>
      <c r="R346" s="7"/>
      <c r="S346" s="7"/>
      <c r="T346" s="7"/>
      <c r="U346" s="7"/>
      <c r="V346" s="7"/>
      <c r="W346" s="7"/>
    </row>
    <row r="347" spans="1:23" x14ac:dyDescent="0.25">
      <c r="A347" s="1" t="s">
        <v>687</v>
      </c>
      <c r="B347" s="1"/>
      <c r="C347" s="1"/>
      <c r="D347" s="1"/>
      <c r="E347" s="51" t="s">
        <v>93</v>
      </c>
      <c r="F347" s="51">
        <f>F236+F237</f>
        <v>0</v>
      </c>
      <c r="G347" s="7"/>
      <c r="H347" s="39"/>
      <c r="I347" s="13"/>
      <c r="J347" s="7"/>
      <c r="K347" s="7"/>
      <c r="L347" s="7"/>
      <c r="M347" s="7"/>
      <c r="N347" s="7"/>
      <c r="O347" s="7"/>
      <c r="P347" s="7"/>
      <c r="Q347" s="7"/>
      <c r="R347" s="7"/>
      <c r="S347" s="7"/>
      <c r="T347" s="7"/>
      <c r="U347" s="7"/>
      <c r="V347" s="7"/>
      <c r="W347" s="7"/>
    </row>
    <row r="348" spans="1:23" x14ac:dyDescent="0.25">
      <c r="A348" s="1" t="s">
        <v>175</v>
      </c>
      <c r="B348" s="1"/>
      <c r="C348" s="1"/>
      <c r="D348" s="1"/>
      <c r="E348" s="51" t="s">
        <v>138</v>
      </c>
      <c r="F348" s="51">
        <f>F287+F233</f>
        <v>0</v>
      </c>
      <c r="G348" s="7"/>
      <c r="H348" s="39"/>
      <c r="I348" s="13"/>
      <c r="J348" s="7"/>
      <c r="K348" s="7"/>
      <c r="L348" s="7"/>
      <c r="M348" s="7"/>
      <c r="N348" s="7"/>
      <c r="O348" s="7"/>
      <c r="P348" s="7"/>
      <c r="Q348" s="7"/>
      <c r="R348" s="7"/>
      <c r="S348" s="7"/>
      <c r="T348" s="7"/>
      <c r="U348" s="7"/>
      <c r="V348" s="7"/>
      <c r="W348" s="7"/>
    </row>
    <row r="349" spans="1:23" x14ac:dyDescent="0.25">
      <c r="A349" s="1"/>
      <c r="B349" s="1"/>
      <c r="C349" s="1"/>
      <c r="D349" s="1"/>
      <c r="E349" s="51"/>
      <c r="F349" s="51"/>
      <c r="G349" s="7"/>
      <c r="H349" s="39"/>
      <c r="I349" s="13"/>
      <c r="J349" s="7"/>
      <c r="K349" s="7"/>
      <c r="L349" s="7"/>
      <c r="M349" s="7"/>
      <c r="N349" s="7"/>
      <c r="O349" s="7"/>
      <c r="P349" s="7"/>
      <c r="Q349" s="7"/>
      <c r="R349" s="7"/>
      <c r="S349" s="7"/>
      <c r="T349" s="7"/>
      <c r="U349" s="7"/>
      <c r="V349" s="7"/>
      <c r="W349" s="7"/>
    </row>
    <row r="350" spans="1:23" x14ac:dyDescent="0.25">
      <c r="A350" s="116" t="s">
        <v>199</v>
      </c>
      <c r="B350" s="1"/>
      <c r="C350" s="1"/>
      <c r="D350" s="1"/>
      <c r="E350" s="51"/>
      <c r="F350" s="51"/>
      <c r="G350" s="7"/>
      <c r="H350" s="39"/>
      <c r="I350" s="13"/>
      <c r="J350" s="7"/>
      <c r="K350" s="7"/>
      <c r="L350" s="7"/>
      <c r="M350" s="7"/>
      <c r="N350" s="7"/>
      <c r="O350" s="7"/>
      <c r="P350" s="7"/>
      <c r="Q350" s="7"/>
      <c r="R350" s="7"/>
      <c r="S350" s="7"/>
      <c r="T350" s="7"/>
      <c r="U350" s="7"/>
      <c r="V350" s="7"/>
      <c r="W350" s="7"/>
    </row>
    <row r="351" spans="1:23" x14ac:dyDescent="0.25">
      <c r="A351" s="1" t="s">
        <v>204</v>
      </c>
      <c r="B351" s="1"/>
      <c r="C351" s="1"/>
      <c r="D351" s="1"/>
      <c r="E351" s="51" t="s">
        <v>48</v>
      </c>
      <c r="F351" s="51">
        <f>IFERROR(SUMIF($A$123:$A$134,"=Public Water",$D$123:$D$134),"")</f>
        <v>0</v>
      </c>
      <c r="G351" s="7"/>
      <c r="H351" s="40"/>
      <c r="I351" s="13"/>
      <c r="J351" s="7"/>
      <c r="K351" s="7"/>
      <c r="L351" s="7"/>
      <c r="M351" s="7"/>
      <c r="N351" s="7"/>
      <c r="O351" s="7"/>
      <c r="P351" s="7"/>
      <c r="Q351" s="7"/>
      <c r="R351" s="7"/>
      <c r="S351" s="7"/>
      <c r="T351" s="7"/>
      <c r="U351" s="7"/>
      <c r="V351" s="7"/>
      <c r="W351" s="7"/>
    </row>
    <row r="352" spans="1:23" x14ac:dyDescent="0.25">
      <c r="A352" s="1" t="s">
        <v>195</v>
      </c>
      <c r="B352" s="1"/>
      <c r="C352" s="1"/>
      <c r="D352" s="1"/>
      <c r="E352" s="51" t="s">
        <v>48</v>
      </c>
      <c r="F352" s="51">
        <f>IFERROR(SUMIF($A$123:$A$134,"=Extracted Groundwater",$D$123:$D$134),"")</f>
        <v>0</v>
      </c>
      <c r="G352" s="7"/>
      <c r="H352" s="223"/>
      <c r="I352" s="13"/>
      <c r="J352" s="7"/>
      <c r="K352" s="7"/>
      <c r="L352" s="7"/>
      <c r="M352" s="7"/>
      <c r="N352" s="7"/>
      <c r="O352" s="7"/>
      <c r="P352" s="7"/>
      <c r="Q352" s="7"/>
      <c r="R352" s="7"/>
      <c r="S352" s="7"/>
      <c r="T352" s="7"/>
      <c r="U352" s="7"/>
      <c r="V352" s="7"/>
      <c r="W352" s="7"/>
    </row>
    <row r="353" spans="1:23" x14ac:dyDescent="0.25">
      <c r="A353" s="1" t="s">
        <v>196</v>
      </c>
      <c r="B353" s="1"/>
      <c r="C353" s="1"/>
      <c r="D353" s="1"/>
      <c r="E353" s="51" t="s">
        <v>48</v>
      </c>
      <c r="F353" s="51">
        <f>IFERROR(SUMIF($A$123:$A$134,"=Surface Water",$D$123:$D$134),"")</f>
        <v>0</v>
      </c>
      <c r="G353" s="7"/>
      <c r="H353" s="223"/>
      <c r="I353" s="13"/>
      <c r="J353" s="7"/>
      <c r="K353" s="7"/>
      <c r="L353" s="7"/>
      <c r="M353" s="7"/>
      <c r="N353" s="7"/>
      <c r="O353" s="7"/>
      <c r="P353" s="7"/>
      <c r="Q353" s="7"/>
      <c r="R353" s="7"/>
      <c r="S353" s="7"/>
      <c r="T353" s="7"/>
      <c r="U353" s="7"/>
      <c r="V353" s="7"/>
      <c r="W353" s="7"/>
    </row>
    <row r="354" spans="1:23" x14ac:dyDescent="0.25">
      <c r="A354" s="1" t="s">
        <v>197</v>
      </c>
      <c r="B354" s="1"/>
      <c r="C354" s="1"/>
      <c r="D354" s="1"/>
      <c r="E354" s="51" t="s">
        <v>48</v>
      </c>
      <c r="F354" s="51">
        <f>IFERROR(SUMIF($A$123:$A$134,"=Reclaimed Water",$D$123:$D$134),"")</f>
        <v>0</v>
      </c>
      <c r="G354" s="7"/>
      <c r="H354" s="39"/>
      <c r="I354" s="13"/>
      <c r="J354" s="7"/>
      <c r="K354" s="7"/>
      <c r="L354" s="7"/>
      <c r="M354" s="7"/>
      <c r="N354" s="7"/>
      <c r="O354" s="7"/>
      <c r="P354" s="7"/>
      <c r="Q354" s="7"/>
      <c r="R354" s="7"/>
      <c r="S354" s="7"/>
      <c r="T354" s="7"/>
      <c r="U354" s="7"/>
      <c r="V354" s="7"/>
      <c r="W354" s="7"/>
    </row>
    <row r="355" spans="1:23" x14ac:dyDescent="0.25">
      <c r="A355" s="1" t="s">
        <v>198</v>
      </c>
      <c r="B355" s="1"/>
      <c r="C355" s="1"/>
      <c r="D355" s="1"/>
      <c r="E355" s="51" t="s">
        <v>48</v>
      </c>
      <c r="F355" s="51">
        <f>IFERROR(SUMIF($A$123:$A$134,"=Collected/Diverted Storm Water",$D$123:$D$134),"")</f>
        <v>0</v>
      </c>
      <c r="G355" s="7"/>
      <c r="H355" s="39"/>
      <c r="I355" s="13"/>
      <c r="J355" s="7"/>
      <c r="K355" s="7"/>
      <c r="L355" s="7"/>
      <c r="M355" s="7"/>
      <c r="N355" s="7"/>
      <c r="O355" s="7"/>
      <c r="P355" s="7"/>
      <c r="Q355" s="7"/>
      <c r="R355" s="7"/>
      <c r="S355" s="7"/>
      <c r="T355" s="7"/>
      <c r="U355" s="7"/>
      <c r="V355" s="7"/>
      <c r="W355" s="7"/>
    </row>
    <row r="356" spans="1:23" x14ac:dyDescent="0.25">
      <c r="A356" s="1" t="str">
        <f>'User Defined Factors'!A62</f>
        <v>User-defined water resource #1</v>
      </c>
      <c r="B356" s="1"/>
      <c r="C356" s="1"/>
      <c r="D356" s="1"/>
      <c r="E356" s="51" t="s">
        <v>48</v>
      </c>
      <c r="F356" s="51">
        <f>IFERROR(SUMIF($A$123:$A$134,'User Defined Factors'!A62,$D$123:$D$134),"")</f>
        <v>0</v>
      </c>
      <c r="G356" s="7"/>
      <c r="H356" s="39"/>
      <c r="I356" s="13"/>
      <c r="J356" s="7"/>
      <c r="K356" s="7"/>
      <c r="L356" s="7"/>
      <c r="M356" s="7"/>
      <c r="N356" s="7"/>
      <c r="O356" s="7"/>
      <c r="P356" s="7"/>
      <c r="Q356" s="7"/>
      <c r="R356" s="7"/>
      <c r="S356" s="7"/>
      <c r="T356" s="7"/>
      <c r="U356" s="7"/>
      <c r="V356" s="7"/>
      <c r="W356" s="7"/>
    </row>
    <row r="357" spans="1:23" x14ac:dyDescent="0.25">
      <c r="A357" s="1" t="str">
        <f>'User Defined Factors'!A63</f>
        <v>User-defined water resource #2</v>
      </c>
      <c r="B357" s="1"/>
      <c r="C357" s="1"/>
      <c r="D357" s="1"/>
      <c r="E357" s="51" t="s">
        <v>48</v>
      </c>
      <c r="F357" s="51">
        <f>IFERROR(SUMIF($A$123:$A$134,'User Defined Factors'!A63,$D$123:$D$134),"")</f>
        <v>0</v>
      </c>
      <c r="G357" s="7"/>
      <c r="H357" s="39"/>
      <c r="I357" s="13"/>
      <c r="J357" s="7"/>
      <c r="K357" s="7"/>
      <c r="L357" s="7"/>
      <c r="M357" s="7"/>
      <c r="N357" s="7"/>
      <c r="O357" s="7"/>
      <c r="P357" s="7"/>
      <c r="Q357" s="7"/>
      <c r="R357" s="7"/>
      <c r="S357" s="7"/>
      <c r="T357" s="7"/>
      <c r="U357" s="7"/>
      <c r="V357" s="7"/>
      <c r="W357" s="7"/>
    </row>
    <row r="358" spans="1:23" x14ac:dyDescent="0.25">
      <c r="A358" s="1"/>
      <c r="B358" s="1"/>
      <c r="C358" s="1"/>
      <c r="D358" s="1"/>
      <c r="E358" s="51"/>
      <c r="F358" s="51"/>
      <c r="G358" s="7"/>
      <c r="H358" s="7"/>
      <c r="I358" s="7"/>
      <c r="J358" s="7"/>
      <c r="K358" s="7"/>
      <c r="L358" s="7"/>
      <c r="M358" s="7"/>
      <c r="N358" s="7"/>
      <c r="O358" s="7"/>
      <c r="P358" s="7"/>
      <c r="Q358" s="7"/>
      <c r="R358" s="7"/>
      <c r="S358" s="7"/>
      <c r="T358" s="7"/>
      <c r="U358" s="7"/>
      <c r="V358" s="7"/>
      <c r="W358" s="7"/>
    </row>
    <row r="359" spans="1:23" x14ac:dyDescent="0.25">
      <c r="A359" s="144" t="s">
        <v>202</v>
      </c>
      <c r="B359" s="1"/>
      <c r="C359" s="1"/>
      <c r="D359" s="1"/>
      <c r="E359" s="51"/>
      <c r="F359" s="51"/>
      <c r="G359" s="7"/>
      <c r="H359" s="7"/>
      <c r="I359" s="7"/>
      <c r="J359" s="7"/>
      <c r="K359" s="7"/>
      <c r="L359" s="7"/>
      <c r="M359" s="7"/>
      <c r="N359" s="7"/>
      <c r="O359" s="7"/>
      <c r="P359" s="7"/>
      <c r="Q359" s="7"/>
      <c r="R359" s="7"/>
      <c r="S359" s="7"/>
      <c r="T359" s="7"/>
      <c r="U359" s="7"/>
      <c r="V359" s="7"/>
      <c r="W359" s="7"/>
    </row>
    <row r="360" spans="1:23" x14ac:dyDescent="0.25">
      <c r="A360" s="1" t="s">
        <v>728</v>
      </c>
      <c r="B360" s="1"/>
      <c r="C360" s="1"/>
      <c r="D360" s="1"/>
      <c r="E360" s="51" t="s">
        <v>3</v>
      </c>
      <c r="F360" s="51">
        <f ca="1">IFERROR(SUMIF($A$105:$B$116,"=Hazardous waste incineration",$D$105:$D$116),"")</f>
        <v>0</v>
      </c>
      <c r="G360" s="7"/>
      <c r="H360" s="39"/>
      <c r="I360" s="13"/>
      <c r="J360" s="7"/>
      <c r="K360" s="7"/>
      <c r="L360" s="7"/>
      <c r="M360" s="7"/>
      <c r="N360" s="7"/>
      <c r="O360" s="7"/>
      <c r="P360" s="7"/>
      <c r="Q360" s="7"/>
      <c r="R360" s="7"/>
      <c r="S360" s="7"/>
      <c r="T360" s="7"/>
      <c r="U360" s="7"/>
      <c r="V360" s="7"/>
      <c r="W360" s="7"/>
    </row>
    <row r="361" spans="1:23" x14ac:dyDescent="0.25">
      <c r="A361" s="1" t="s">
        <v>345</v>
      </c>
      <c r="B361" s="1"/>
      <c r="C361" s="1"/>
      <c r="D361" s="1"/>
      <c r="E361" s="51" t="s">
        <v>48</v>
      </c>
      <c r="F361" s="51">
        <f ca="1">IFERROR(SUMIF($A$105:$B$116,"=Off-Site waste water treatment (POTW)",$D$105:$D$116),"")</f>
        <v>0</v>
      </c>
      <c r="G361" s="7"/>
      <c r="H361" s="7"/>
      <c r="I361" s="7"/>
      <c r="J361" s="7"/>
      <c r="K361" s="7"/>
      <c r="L361" s="7"/>
      <c r="M361" s="7"/>
      <c r="N361" s="7"/>
      <c r="O361" s="7"/>
      <c r="P361" s="7"/>
      <c r="Q361" s="7"/>
      <c r="R361" s="7"/>
      <c r="S361" s="7"/>
      <c r="T361" s="7"/>
      <c r="U361" s="7"/>
      <c r="V361" s="7"/>
      <c r="W361" s="7"/>
    </row>
    <row r="362" spans="1:23" ht="14.45" customHeight="1" x14ac:dyDescent="0.3">
      <c r="A362" s="1" t="s">
        <v>364</v>
      </c>
      <c r="B362" s="1"/>
      <c r="C362" s="1"/>
      <c r="D362" s="1"/>
      <c r="E362" s="51" t="s">
        <v>4</v>
      </c>
      <c r="F362" s="51">
        <f ca="1">IFERROR(SUMIF($A$105:$B$116,"=Off-site non-hazardous waste landfill",$D$105:$D$116),"")</f>
        <v>0</v>
      </c>
      <c r="G362" s="7"/>
      <c r="H362" s="37"/>
      <c r="I362" s="37"/>
      <c r="J362" s="7"/>
      <c r="K362" s="7"/>
      <c r="L362" s="7"/>
      <c r="M362" s="7"/>
      <c r="N362" s="7"/>
      <c r="O362" s="7"/>
      <c r="P362" s="7"/>
      <c r="Q362" s="7"/>
      <c r="R362" s="7"/>
      <c r="S362" s="7"/>
      <c r="T362" s="7"/>
      <c r="U362" s="7"/>
      <c r="V362" s="7"/>
      <c r="W362" s="7"/>
    </row>
    <row r="363" spans="1:23" x14ac:dyDescent="0.25">
      <c r="A363" s="1" t="s">
        <v>365</v>
      </c>
      <c r="B363" s="1"/>
      <c r="C363" s="1"/>
      <c r="D363" s="1"/>
      <c r="E363" s="51" t="s">
        <v>4</v>
      </c>
      <c r="F363" s="51">
        <f ca="1">IFERROR(SUMIF($A$105:$B$116,"=Off-site hazardous waste landfill",$D$105:$D$116),"")</f>
        <v>0</v>
      </c>
      <c r="G363" s="7"/>
      <c r="H363" s="7"/>
      <c r="I363" s="7"/>
      <c r="J363" s="7"/>
      <c r="K363" s="7"/>
      <c r="L363" s="7"/>
      <c r="M363" s="7"/>
      <c r="N363" s="7"/>
      <c r="O363" s="7"/>
      <c r="P363" s="7"/>
      <c r="Q363" s="7"/>
      <c r="R363" s="7"/>
      <c r="S363" s="7"/>
      <c r="T363" s="7"/>
      <c r="U363" s="7"/>
      <c r="V363" s="7"/>
      <c r="W363" s="7"/>
    </row>
    <row r="364" spans="1:23" x14ac:dyDescent="0.25">
      <c r="A364" s="1" t="s">
        <v>200</v>
      </c>
      <c r="B364" s="1"/>
      <c r="C364" s="1"/>
      <c r="D364" s="1"/>
      <c r="E364" s="51" t="s">
        <v>4</v>
      </c>
      <c r="F364" s="51">
        <f ca="1">IFERROR(SUMIF($A$105:$B$116,"=Recycled/reused on-site",$D$105:$D$116),"")</f>
        <v>0</v>
      </c>
      <c r="G364" s="7"/>
      <c r="H364" s="222"/>
      <c r="I364" s="13"/>
      <c r="J364" s="7"/>
      <c r="K364" s="7"/>
      <c r="L364" s="7"/>
      <c r="M364" s="7"/>
      <c r="N364" s="7"/>
      <c r="O364" s="7"/>
      <c r="P364" s="7"/>
      <c r="Q364" s="7"/>
      <c r="R364" s="7"/>
      <c r="S364" s="7"/>
      <c r="T364" s="7"/>
      <c r="U364" s="7"/>
      <c r="V364" s="7"/>
      <c r="W364" s="7"/>
    </row>
    <row r="365" spans="1:23" x14ac:dyDescent="0.25">
      <c r="A365" s="1" t="s">
        <v>201</v>
      </c>
      <c r="B365" s="1"/>
      <c r="C365" s="1"/>
      <c r="D365" s="1"/>
      <c r="E365" s="51" t="s">
        <v>4</v>
      </c>
      <c r="F365" s="51">
        <f ca="1">IFERROR(SUMIF($A$105:$B$116,"=Recycled/reused off-site",$D$105:$D$116),"")</f>
        <v>0</v>
      </c>
      <c r="G365" s="7"/>
      <c r="H365" s="39"/>
      <c r="I365" s="13"/>
      <c r="J365" s="7"/>
      <c r="K365" s="7"/>
      <c r="L365" s="7"/>
      <c r="M365" s="7"/>
      <c r="N365" s="7"/>
      <c r="O365" s="7"/>
      <c r="P365" s="7"/>
      <c r="Q365" s="7"/>
      <c r="R365" s="7"/>
      <c r="S365" s="7"/>
      <c r="T365" s="7"/>
      <c r="U365" s="7"/>
      <c r="V365" s="7"/>
      <c r="W365" s="7"/>
    </row>
    <row r="366" spans="1:23" x14ac:dyDescent="0.25">
      <c r="A366" s="116" t="s">
        <v>223</v>
      </c>
      <c r="B366" s="1"/>
      <c r="C366" s="1"/>
      <c r="D366" s="1"/>
      <c r="E366" s="51"/>
      <c r="F366" s="51"/>
      <c r="G366" s="7"/>
      <c r="H366" s="39"/>
      <c r="I366" s="13"/>
      <c r="J366" s="7"/>
      <c r="K366" s="7"/>
      <c r="L366" s="7"/>
      <c r="M366" s="7"/>
      <c r="N366" s="7"/>
      <c r="O366" s="7"/>
      <c r="P366" s="7"/>
      <c r="Q366" s="7"/>
      <c r="R366" s="7"/>
      <c r="S366" s="7"/>
      <c r="T366" s="7"/>
      <c r="U366" s="7"/>
      <c r="V366" s="7"/>
      <c r="W366" s="7"/>
    </row>
    <row r="367" spans="1:23" x14ac:dyDescent="0.25">
      <c r="A367" s="1" t="s">
        <v>218</v>
      </c>
      <c r="B367" s="1"/>
      <c r="C367" s="1"/>
      <c r="D367" s="1"/>
      <c r="E367" s="51" t="s">
        <v>4</v>
      </c>
      <c r="F367" s="51">
        <f ca="1">SUM(F362,H423:H425)</f>
        <v>0</v>
      </c>
      <c r="G367" s="7"/>
      <c r="H367" s="39"/>
      <c r="I367" s="13"/>
      <c r="J367" s="7"/>
      <c r="K367" s="7"/>
      <c r="L367" s="7"/>
      <c r="M367" s="7"/>
      <c r="N367" s="7"/>
      <c r="O367" s="7"/>
      <c r="P367" s="7"/>
      <c r="Q367" s="7"/>
      <c r="R367" s="7"/>
      <c r="S367" s="7"/>
      <c r="T367" s="7"/>
      <c r="U367" s="7"/>
      <c r="V367" s="7"/>
      <c r="W367" s="7"/>
    </row>
    <row r="368" spans="1:23" x14ac:dyDescent="0.25">
      <c r="A368" s="1" t="s">
        <v>219</v>
      </c>
      <c r="B368" s="1"/>
      <c r="C368" s="1"/>
      <c r="D368" s="1"/>
      <c r="E368" s="51" t="s">
        <v>4</v>
      </c>
      <c r="F368" s="51">
        <f ca="1">SUM(F363,F360/2000,H426:H428)</f>
        <v>0</v>
      </c>
      <c r="G368" s="7"/>
      <c r="H368" s="39"/>
      <c r="I368" s="13"/>
      <c r="J368" s="7"/>
      <c r="K368" s="7"/>
      <c r="L368" s="7"/>
      <c r="M368" s="7"/>
      <c r="N368" s="7"/>
      <c r="O368" s="7"/>
      <c r="P368" s="7"/>
      <c r="Q368" s="7"/>
      <c r="R368" s="7"/>
      <c r="S368" s="7"/>
      <c r="T368" s="7"/>
      <c r="U368" s="7"/>
      <c r="V368" s="7"/>
      <c r="W368" s="7"/>
    </row>
    <row r="369" spans="1:23" x14ac:dyDescent="0.25">
      <c r="A369" s="1" t="s">
        <v>220</v>
      </c>
      <c r="B369" s="1"/>
      <c r="C369" s="1"/>
      <c r="D369" s="1"/>
      <c r="E369" s="51" t="s">
        <v>4</v>
      </c>
      <c r="F369" s="51">
        <f ca="1">SUM(F364:F365,H417:H422)</f>
        <v>0</v>
      </c>
      <c r="G369" s="7"/>
      <c r="H369" s="39"/>
      <c r="I369" s="13"/>
      <c r="J369" s="7"/>
      <c r="K369" s="7"/>
      <c r="L369" s="7"/>
      <c r="M369" s="7"/>
      <c r="N369" s="7"/>
      <c r="O369" s="7"/>
      <c r="P369" s="7"/>
      <c r="Q369" s="7"/>
      <c r="R369" s="7"/>
      <c r="S369" s="7"/>
      <c r="T369" s="7"/>
      <c r="U369" s="7"/>
      <c r="V369" s="7"/>
      <c r="W369" s="7"/>
    </row>
    <row r="370" spans="1:23" x14ac:dyDescent="0.25">
      <c r="A370" s="1" t="s">
        <v>225</v>
      </c>
      <c r="B370" s="1"/>
      <c r="C370" s="1"/>
      <c r="D370" s="1"/>
      <c r="E370" s="51" t="s">
        <v>4</v>
      </c>
      <c r="F370" s="51">
        <f ca="1">SUM(F367:F369)</f>
        <v>0</v>
      </c>
      <c r="G370" s="7"/>
      <c r="H370" s="39"/>
      <c r="I370" s="13"/>
      <c r="J370" s="7"/>
      <c r="K370" s="7"/>
      <c r="L370" s="7"/>
      <c r="M370" s="7"/>
      <c r="N370" s="7"/>
      <c r="O370" s="7"/>
      <c r="P370" s="7"/>
      <c r="Q370" s="7"/>
      <c r="R370" s="7"/>
      <c r="S370" s="7"/>
      <c r="T370" s="7"/>
      <c r="U370" s="7"/>
      <c r="V370" s="7"/>
      <c r="W370" s="7"/>
    </row>
    <row r="371" spans="1:23" x14ac:dyDescent="0.25">
      <c r="A371" s="144" t="s">
        <v>203</v>
      </c>
      <c r="B371" s="1"/>
      <c r="C371" s="1"/>
      <c r="D371" s="1"/>
      <c r="E371" s="1"/>
      <c r="F371" s="1"/>
      <c r="G371" s="7"/>
      <c r="H371" s="39"/>
      <c r="I371" s="13"/>
      <c r="J371" s="7"/>
      <c r="K371" s="7"/>
      <c r="L371" s="7"/>
      <c r="M371" s="7"/>
      <c r="N371" s="7"/>
      <c r="O371" s="7"/>
      <c r="P371" s="7"/>
      <c r="Q371" s="7"/>
      <c r="R371" s="7"/>
      <c r="S371" s="7"/>
      <c r="T371" s="7"/>
      <c r="U371" s="7"/>
      <c r="V371" s="7"/>
      <c r="W371" s="7"/>
    </row>
    <row r="372" spans="1:23" x14ac:dyDescent="0.25">
      <c r="A372" s="1" t="s">
        <v>695</v>
      </c>
      <c r="B372" s="1"/>
      <c r="C372" s="1"/>
      <c r="D372" s="1"/>
      <c r="E372" s="51" t="s">
        <v>720</v>
      </c>
      <c r="F372" s="51">
        <f>IFERROR(SUMIF($M$151:$M$163,"=Off-site Laboratory Analysis - Other",$Q$151:$Q$163),"")</f>
        <v>0</v>
      </c>
      <c r="G372" s="7"/>
      <c r="H372" s="39"/>
      <c r="I372" s="13"/>
      <c r="J372" s="7"/>
      <c r="K372" s="7"/>
      <c r="L372" s="7"/>
      <c r="M372" s="7"/>
      <c r="N372" s="7"/>
      <c r="O372" s="7"/>
      <c r="P372" s="7"/>
      <c r="Q372" s="7"/>
      <c r="R372" s="7"/>
      <c r="S372" s="7"/>
      <c r="T372" s="7"/>
      <c r="U372" s="7"/>
      <c r="V372" s="7"/>
      <c r="W372" s="7"/>
    </row>
    <row r="373" spans="1:23" x14ac:dyDescent="0.25">
      <c r="A373" s="1" t="s">
        <v>696</v>
      </c>
      <c r="B373" s="1"/>
      <c r="C373" s="1"/>
      <c r="D373" s="1"/>
      <c r="E373" s="51" t="s">
        <v>720</v>
      </c>
      <c r="F373" s="51">
        <f>IFERROR(SUMIF($M$151:$M$163,"=Off-site Laboratory Analysis - Metals",$Q$151:$Q$163),"")</f>
        <v>0</v>
      </c>
      <c r="G373" s="7"/>
      <c r="H373" s="39"/>
      <c r="I373" s="13"/>
      <c r="J373" s="7"/>
      <c r="K373" s="7"/>
      <c r="L373" s="7"/>
      <c r="M373" s="7"/>
      <c r="N373" s="7"/>
      <c r="O373" s="7"/>
      <c r="P373" s="7"/>
      <c r="Q373" s="7"/>
      <c r="R373" s="7"/>
      <c r="S373" s="7"/>
      <c r="T373" s="7"/>
      <c r="U373" s="7"/>
      <c r="V373" s="7"/>
      <c r="W373" s="7"/>
    </row>
    <row r="374" spans="1:23" x14ac:dyDescent="0.25">
      <c r="A374" s="1" t="s">
        <v>697</v>
      </c>
      <c r="B374" s="1"/>
      <c r="C374" s="1"/>
      <c r="D374" s="1"/>
      <c r="E374" s="51" t="s">
        <v>720</v>
      </c>
      <c r="F374" s="51">
        <f>IFERROR(SUMIF($M$151:$M$163,"=Off-site Laboratory Analysis - Mercury",$Q$151:$Q$163),"")</f>
        <v>0</v>
      </c>
      <c r="G374" s="7"/>
      <c r="H374" s="39"/>
      <c r="I374" s="13"/>
      <c r="J374" s="7"/>
      <c r="K374" s="7"/>
      <c r="L374" s="7"/>
      <c r="M374" s="7"/>
      <c r="N374" s="7"/>
      <c r="O374" s="7"/>
      <c r="P374" s="7"/>
      <c r="Q374" s="7"/>
      <c r="R374" s="7"/>
      <c r="S374" s="7"/>
      <c r="T374" s="7"/>
      <c r="U374" s="7"/>
      <c r="V374" s="7"/>
      <c r="W374" s="7"/>
    </row>
    <row r="375" spans="1:23" x14ac:dyDescent="0.25">
      <c r="A375" s="1" t="s">
        <v>698</v>
      </c>
      <c r="B375" s="1"/>
      <c r="C375" s="1"/>
      <c r="D375" s="1"/>
      <c r="E375" s="51" t="s">
        <v>720</v>
      </c>
      <c r="F375" s="51">
        <f>IFERROR(SUMIF($M$151:$M$163,"=Off-site Laboratory Analysis - Inorganic Anions",$Q$151:$Q$163),"")</f>
        <v>0</v>
      </c>
      <c r="G375" s="7"/>
      <c r="H375" s="39"/>
      <c r="I375" s="13"/>
      <c r="J375" s="7"/>
      <c r="K375" s="7"/>
      <c r="L375" s="7"/>
      <c r="M375" s="7"/>
      <c r="N375" s="7"/>
      <c r="O375" s="7"/>
      <c r="P375" s="7"/>
      <c r="Q375" s="7"/>
      <c r="R375" s="7"/>
      <c r="S375" s="7"/>
      <c r="T375" s="7"/>
      <c r="U375" s="7"/>
      <c r="V375" s="7"/>
      <c r="W375" s="7"/>
    </row>
    <row r="376" spans="1:23" x14ac:dyDescent="0.25">
      <c r="A376" s="1" t="s">
        <v>699</v>
      </c>
      <c r="B376" s="1"/>
      <c r="C376" s="1"/>
      <c r="D376" s="1"/>
      <c r="E376" s="51" t="s">
        <v>720</v>
      </c>
      <c r="F376" s="51">
        <f>IFERROR(SUMIF($M$151:$M$163,"=Off-site Laboratory Analysis - Alkalinity",$Q$151:$Q$163),"")</f>
        <v>0</v>
      </c>
      <c r="G376" s="7"/>
      <c r="H376" s="39"/>
      <c r="I376" s="13"/>
      <c r="J376" s="7"/>
      <c r="K376" s="7"/>
      <c r="L376" s="7"/>
      <c r="M376" s="7"/>
      <c r="N376" s="7"/>
      <c r="O376" s="7"/>
      <c r="P376" s="7"/>
      <c r="Q376" s="7"/>
      <c r="R376" s="7"/>
      <c r="S376" s="7"/>
      <c r="T376" s="7"/>
      <c r="U376" s="7"/>
      <c r="V376" s="7"/>
      <c r="W376" s="7"/>
    </row>
    <row r="377" spans="1:23" x14ac:dyDescent="0.25">
      <c r="A377" s="1" t="s">
        <v>700</v>
      </c>
      <c r="B377" s="1"/>
      <c r="C377" s="1"/>
      <c r="D377" s="1"/>
      <c r="E377" s="51" t="s">
        <v>720</v>
      </c>
      <c r="F377" s="51">
        <f>IFERROR(SUMIF($M$151:$M$163,"=Off-site Laboratory Analysis - Perchlorate",$Q$151:$Q$163),"")</f>
        <v>0</v>
      </c>
      <c r="G377" s="7"/>
      <c r="H377" s="39"/>
      <c r="I377" s="13"/>
      <c r="J377" s="7"/>
      <c r="K377" s="7"/>
      <c r="L377" s="7"/>
      <c r="M377" s="7"/>
      <c r="N377" s="7"/>
      <c r="O377" s="7"/>
      <c r="P377" s="7"/>
      <c r="Q377" s="7"/>
      <c r="R377" s="7"/>
      <c r="S377" s="7"/>
      <c r="T377" s="7"/>
      <c r="U377" s="7"/>
      <c r="V377" s="7"/>
      <c r="W377" s="7"/>
    </row>
    <row r="378" spans="1:23" x14ac:dyDescent="0.25">
      <c r="A378" s="1" t="s">
        <v>701</v>
      </c>
      <c r="B378" s="1"/>
      <c r="C378" s="1"/>
      <c r="D378" s="1"/>
      <c r="E378" s="51" t="s">
        <v>720</v>
      </c>
      <c r="F378" s="51">
        <f>IFERROR(SUMIF($M$151:$M$163,"=Off-site Laboratory Analysis - Nitrogen/Nitrate",$Q$151:$Q$163),"")</f>
        <v>0</v>
      </c>
      <c r="G378" s="7"/>
      <c r="H378" s="39"/>
      <c r="I378" s="13"/>
      <c r="J378" s="7"/>
      <c r="K378" s="7"/>
      <c r="L378" s="7"/>
      <c r="M378" s="7"/>
      <c r="N378" s="7"/>
      <c r="O378" s="7"/>
      <c r="P378" s="7"/>
      <c r="Q378" s="7"/>
      <c r="R378" s="7"/>
      <c r="S378" s="7"/>
      <c r="T378" s="7"/>
      <c r="U378" s="7"/>
      <c r="V378" s="7"/>
      <c r="W378" s="7"/>
    </row>
    <row r="379" spans="1:23" x14ac:dyDescent="0.25">
      <c r="A379" s="1" t="s">
        <v>702</v>
      </c>
      <c r="B379" s="1"/>
      <c r="C379" s="1"/>
      <c r="D379" s="1"/>
      <c r="E379" s="51" t="s">
        <v>720</v>
      </c>
      <c r="F379" s="51">
        <f>IFERROR(SUMIF($M$151:$M$163,"=Off-site Laboratory Analysis - Sulfate",$Q$151:$Q$163),"")</f>
        <v>0</v>
      </c>
      <c r="G379" s="7"/>
      <c r="H379" s="39"/>
      <c r="I379" s="13"/>
      <c r="J379" s="7"/>
      <c r="K379" s="7"/>
      <c r="L379" s="7"/>
      <c r="M379" s="7"/>
      <c r="N379" s="7"/>
      <c r="O379" s="7"/>
      <c r="P379" s="7"/>
      <c r="Q379" s="7"/>
      <c r="R379" s="7"/>
      <c r="S379" s="7"/>
      <c r="T379" s="7"/>
      <c r="U379" s="7"/>
      <c r="V379" s="7"/>
      <c r="W379" s="7"/>
    </row>
    <row r="380" spans="1:23" x14ac:dyDescent="0.25">
      <c r="A380" s="1" t="s">
        <v>703</v>
      </c>
      <c r="B380" s="1"/>
      <c r="C380" s="1"/>
      <c r="D380" s="1"/>
      <c r="E380" s="51" t="s">
        <v>720</v>
      </c>
      <c r="F380" s="51">
        <f>IFERROR(SUMIF($M$151:$M$163,"=Off-site Laboratory Analysis - PCBs",$Q$151:$Q$163),"")</f>
        <v>0</v>
      </c>
      <c r="G380" s="7"/>
      <c r="H380" s="39"/>
      <c r="I380" s="13"/>
      <c r="J380" s="7"/>
      <c r="K380" s="7"/>
      <c r="L380" s="7"/>
      <c r="M380" s="7"/>
      <c r="N380" s="7"/>
      <c r="O380" s="7"/>
      <c r="P380" s="7"/>
      <c r="Q380" s="7"/>
      <c r="R380" s="7"/>
      <c r="S380" s="7"/>
      <c r="T380" s="7"/>
      <c r="U380" s="7"/>
      <c r="V380" s="7"/>
      <c r="W380" s="7"/>
    </row>
    <row r="381" spans="1:23" x14ac:dyDescent="0.25">
      <c r="A381" s="1" t="s">
        <v>704</v>
      </c>
      <c r="B381" s="1"/>
      <c r="C381" s="1"/>
      <c r="D381" s="1"/>
      <c r="E381" s="51" t="s">
        <v>720</v>
      </c>
      <c r="F381" s="51">
        <f>IFERROR(SUMIF($M$151:$M$163,"=Off-site Laboratory Analysis - VOCs",$Q$151:$Q$163),"")</f>
        <v>0</v>
      </c>
      <c r="G381" s="7"/>
      <c r="H381" s="39"/>
      <c r="I381" s="13"/>
      <c r="J381" s="7"/>
      <c r="K381" s="7"/>
      <c r="L381" s="7"/>
      <c r="M381" s="7"/>
      <c r="N381" s="7"/>
      <c r="O381" s="7"/>
      <c r="P381" s="7"/>
      <c r="Q381" s="7"/>
      <c r="R381" s="7"/>
      <c r="S381" s="7"/>
      <c r="T381" s="7"/>
      <c r="U381" s="7"/>
      <c r="V381" s="7"/>
      <c r="W381" s="7"/>
    </row>
    <row r="382" spans="1:23" x14ac:dyDescent="0.25">
      <c r="A382" s="1" t="s">
        <v>705</v>
      </c>
      <c r="B382" s="1"/>
      <c r="C382" s="1"/>
      <c r="D382" s="1"/>
      <c r="E382" s="51" t="s">
        <v>720</v>
      </c>
      <c r="F382" s="51">
        <f>IFERROR(SUMIF($M$151:$M$163,"=Off-site Laboratory Analysis - SVOCs",$Q$151:$Q$163),"")</f>
        <v>0</v>
      </c>
      <c r="G382" s="7"/>
      <c r="H382" s="39"/>
      <c r="I382" s="13"/>
      <c r="J382" s="7"/>
      <c r="K382" s="7"/>
      <c r="L382" s="7"/>
      <c r="M382" s="7"/>
      <c r="N382" s="7"/>
      <c r="O382" s="7"/>
      <c r="P382" s="7"/>
      <c r="Q382" s="7"/>
      <c r="R382" s="7"/>
      <c r="S382" s="7"/>
      <c r="T382" s="7"/>
      <c r="U382" s="7"/>
      <c r="V382" s="7"/>
      <c r="W382" s="7"/>
    </row>
    <row r="383" spans="1:23" x14ac:dyDescent="0.25">
      <c r="A383" s="1"/>
      <c r="B383" s="1"/>
      <c r="C383" s="1"/>
      <c r="D383" s="1"/>
      <c r="E383" s="51"/>
      <c r="F383" s="51"/>
      <c r="G383" s="7"/>
      <c r="H383" s="39"/>
      <c r="I383" s="13"/>
      <c r="J383" s="7"/>
      <c r="K383" s="7"/>
      <c r="L383" s="7"/>
      <c r="M383" s="7"/>
      <c r="N383" s="7"/>
      <c r="O383" s="7"/>
      <c r="P383" s="7"/>
      <c r="Q383" s="7"/>
      <c r="R383" s="7"/>
      <c r="S383" s="7"/>
      <c r="T383" s="7"/>
      <c r="U383" s="7"/>
      <c r="V383" s="7"/>
      <c r="W383" s="7"/>
    </row>
    <row r="384" spans="1:23" x14ac:dyDescent="0.25">
      <c r="A384" s="116" t="s">
        <v>129</v>
      </c>
      <c r="B384" s="1"/>
      <c r="C384" s="1"/>
      <c r="D384" s="1"/>
      <c r="E384" s="51" t="s">
        <v>239</v>
      </c>
      <c r="F384" s="51"/>
      <c r="G384" s="7"/>
      <c r="H384" s="221"/>
      <c r="I384" s="13"/>
      <c r="J384" s="7"/>
      <c r="K384" s="7"/>
      <c r="L384" s="7"/>
      <c r="M384" s="7"/>
      <c r="N384" s="7"/>
      <c r="O384" s="7"/>
      <c r="P384" s="7"/>
      <c r="Q384" s="7"/>
      <c r="R384" s="7"/>
      <c r="S384" s="7"/>
      <c r="T384" s="7"/>
      <c r="U384" s="7"/>
      <c r="V384" s="7"/>
      <c r="W384" s="7"/>
    </row>
    <row r="385" spans="1:23" x14ac:dyDescent="0.25">
      <c r="A385" s="1" t="s">
        <v>130</v>
      </c>
      <c r="B385" s="1"/>
      <c r="C385" s="1"/>
      <c r="D385" s="1"/>
      <c r="E385" s="51" t="s">
        <v>135</v>
      </c>
      <c r="F385" s="51">
        <f>IF('Grid Electricity'!$L$5="Use a Single Fuel Mix",$G$68*'Grid Electricity'!B9/1000,(INDEX('Grid Electricity'!$B$7:$L$18,3, MATCH($K$4,'Grid Electricity'!$B$7:$L$7,0)))*$G$68/1000)</f>
        <v>0</v>
      </c>
      <c r="G385" s="6"/>
      <c r="H385" s="39"/>
      <c r="I385" s="13"/>
      <c r="J385" s="7"/>
      <c r="K385" s="7"/>
      <c r="L385" s="7"/>
      <c r="M385" s="7"/>
      <c r="N385" s="7"/>
      <c r="O385" s="7"/>
      <c r="P385" s="7"/>
      <c r="Q385" s="7"/>
      <c r="R385" s="7"/>
      <c r="S385" s="7"/>
      <c r="T385" s="7"/>
      <c r="U385" s="7"/>
      <c r="V385" s="7"/>
      <c r="W385" s="7"/>
    </row>
    <row r="386" spans="1:23" x14ac:dyDescent="0.25">
      <c r="A386" s="1" t="s">
        <v>131</v>
      </c>
      <c r="B386" s="1"/>
      <c r="C386" s="1"/>
      <c r="D386" s="1"/>
      <c r="E386" s="51" t="s">
        <v>135</v>
      </c>
      <c r="F386" s="51">
        <f>IF('Grid Electricity'!$L$5="Use a Single Fuel Mix",$G$68*'Grid Electricity'!B10/1000,(INDEX('Grid Electricity'!$B$7:$L$18,4, MATCH($K$4,'Grid Electricity'!$B$7:$L$7,0)))*$G$68/1000)</f>
        <v>0</v>
      </c>
      <c r="G386" s="6"/>
      <c r="H386" s="39"/>
      <c r="I386" s="13"/>
      <c r="J386" s="7"/>
      <c r="K386" s="7"/>
      <c r="L386" s="7"/>
      <c r="M386" s="7"/>
      <c r="N386" s="7"/>
      <c r="O386" s="7"/>
      <c r="P386" s="7"/>
      <c r="Q386" s="7"/>
      <c r="R386" s="7"/>
      <c r="S386" s="7"/>
      <c r="T386" s="7"/>
      <c r="U386" s="7"/>
      <c r="V386" s="7"/>
      <c r="W386" s="7"/>
    </row>
    <row r="387" spans="1:23" x14ac:dyDescent="0.25">
      <c r="A387" s="1" t="s">
        <v>132</v>
      </c>
      <c r="B387" s="1"/>
      <c r="C387" s="1"/>
      <c r="D387" s="1"/>
      <c r="E387" s="51" t="s">
        <v>135</v>
      </c>
      <c r="F387" s="51">
        <f>IF('Grid Electricity'!$L$5="Use a Single Fuel Mix",$G$68*'Grid Electricity'!B12/1000,(INDEX('Grid Electricity'!$B$7:$L$18,6, MATCH($K$4,'Grid Electricity'!$B$7:$L$7,0)))*$G$68/1000)</f>
        <v>0</v>
      </c>
      <c r="G387" s="6"/>
      <c r="H387" s="39"/>
      <c r="I387" s="13"/>
      <c r="J387" s="7"/>
      <c r="K387" s="7"/>
      <c r="L387" s="7"/>
      <c r="M387" s="7"/>
      <c r="N387" s="7"/>
      <c r="O387" s="7"/>
      <c r="P387" s="7"/>
      <c r="Q387" s="7"/>
      <c r="R387" s="7"/>
      <c r="S387" s="7"/>
      <c r="T387" s="7"/>
      <c r="U387" s="7"/>
      <c r="V387" s="7"/>
      <c r="W387" s="7"/>
    </row>
    <row r="388" spans="1:23" x14ac:dyDescent="0.25">
      <c r="A388" s="1" t="s">
        <v>133</v>
      </c>
      <c r="B388" s="1"/>
      <c r="C388" s="1"/>
      <c r="D388" s="1"/>
      <c r="E388" s="51" t="s">
        <v>135</v>
      </c>
      <c r="F388" s="51">
        <f>IF('Grid Electricity'!$L$5="Use a Single Fuel Mix",$G$68*'Grid Electricity'!B11/1000,(INDEX('Grid Electricity'!$B$7:$L$18,5, MATCH($K$4,'Grid Electricity'!$B$7:$L$7,0)))*$G$68/1000)</f>
        <v>0</v>
      </c>
      <c r="G388" s="6"/>
      <c r="H388" s="39"/>
      <c r="I388" s="13"/>
      <c r="J388" s="7"/>
      <c r="K388" s="7"/>
      <c r="L388" s="7"/>
      <c r="M388" s="7"/>
      <c r="N388" s="7"/>
      <c r="O388" s="7"/>
      <c r="P388" s="7"/>
      <c r="Q388" s="7"/>
      <c r="R388" s="7"/>
      <c r="S388" s="7"/>
      <c r="T388" s="7"/>
      <c r="U388" s="7"/>
      <c r="V388" s="7"/>
      <c r="W388" s="7"/>
    </row>
    <row r="389" spans="1:23" x14ac:dyDescent="0.25">
      <c r="A389" s="1" t="s">
        <v>127</v>
      </c>
      <c r="B389" s="1"/>
      <c r="C389" s="1"/>
      <c r="D389" s="1"/>
      <c r="E389" s="51" t="s">
        <v>135</v>
      </c>
      <c r="F389" s="51">
        <f>IF('Grid Electricity'!$L$5="Use a Single Fuel Mix",$G$68*'Grid Electricity'!B18/1000,(INDEX('Grid Electricity'!$B$7:$L$18,12, MATCH($K$4,'Grid Electricity'!$B$7:$L$7,0)))*$G$68/1000)</f>
        <v>0</v>
      </c>
      <c r="G389" s="6"/>
      <c r="H389" s="39"/>
      <c r="I389" s="13"/>
      <c r="J389" s="7"/>
      <c r="K389" s="7"/>
      <c r="L389" s="7"/>
      <c r="M389" s="7"/>
      <c r="N389" s="7"/>
      <c r="O389" s="7"/>
      <c r="P389" s="7"/>
      <c r="Q389" s="7"/>
      <c r="R389" s="7"/>
      <c r="S389" s="7"/>
      <c r="T389" s="7"/>
      <c r="U389" s="7"/>
      <c r="V389" s="7"/>
      <c r="W389" s="7"/>
    </row>
    <row r="390" spans="1:23" x14ac:dyDescent="0.25">
      <c r="A390" s="1"/>
      <c r="B390" s="1"/>
      <c r="C390" s="1"/>
      <c r="D390" s="1"/>
      <c r="E390" s="51"/>
      <c r="F390" s="51"/>
      <c r="G390" s="7"/>
      <c r="H390" s="39"/>
      <c r="I390" s="13"/>
      <c r="J390" s="7"/>
      <c r="K390" s="7"/>
      <c r="L390" s="7"/>
      <c r="M390" s="7"/>
      <c r="N390" s="7"/>
      <c r="O390" s="7"/>
      <c r="P390" s="7"/>
      <c r="Q390" s="7"/>
      <c r="R390" s="7"/>
      <c r="S390" s="7"/>
      <c r="T390" s="7"/>
      <c r="U390" s="7"/>
      <c r="V390" s="7"/>
      <c r="W390" s="7"/>
    </row>
    <row r="391" spans="1:23" x14ac:dyDescent="0.25">
      <c r="A391" s="116" t="s">
        <v>134</v>
      </c>
      <c r="B391" s="1"/>
      <c r="C391" s="1"/>
      <c r="D391" s="1"/>
      <c r="E391" s="51"/>
      <c r="F391" s="51"/>
      <c r="G391" s="7"/>
      <c r="H391" s="221"/>
      <c r="I391" s="13"/>
      <c r="J391" s="7"/>
      <c r="K391" s="7"/>
      <c r="L391" s="7"/>
      <c r="M391" s="7"/>
      <c r="N391" s="7"/>
      <c r="O391" s="7"/>
      <c r="P391" s="7"/>
      <c r="Q391" s="7"/>
      <c r="R391" s="7"/>
      <c r="S391" s="7"/>
      <c r="T391" s="7"/>
      <c r="U391" s="7"/>
      <c r="V391" s="7"/>
      <c r="W391" s="7"/>
    </row>
    <row r="392" spans="1:23" x14ac:dyDescent="0.25">
      <c r="A392" s="1" t="s">
        <v>176</v>
      </c>
      <c r="B392" s="1"/>
      <c r="C392" s="1"/>
      <c r="D392" s="1"/>
      <c r="E392" s="51" t="s">
        <v>135</v>
      </c>
      <c r="F392" s="51">
        <f>(G68)/1000</f>
        <v>0</v>
      </c>
      <c r="G392" s="7"/>
      <c r="H392" s="39"/>
      <c r="I392" s="13"/>
      <c r="J392" s="7"/>
      <c r="K392" s="7"/>
      <c r="L392" s="7"/>
      <c r="M392" s="7"/>
      <c r="N392" s="7"/>
      <c r="O392" s="7"/>
      <c r="P392" s="7"/>
      <c r="Q392" s="7"/>
      <c r="R392" s="7"/>
      <c r="S392" s="7"/>
      <c r="T392" s="7"/>
      <c r="U392" s="7"/>
      <c r="V392" s="7"/>
      <c r="W392" s="7"/>
    </row>
    <row r="393" spans="1:23" x14ac:dyDescent="0.25">
      <c r="A393" s="1"/>
      <c r="B393" s="1"/>
      <c r="C393" s="1"/>
      <c r="D393" s="1"/>
      <c r="E393" s="51"/>
      <c r="F393" s="51"/>
      <c r="G393" s="7"/>
      <c r="H393" s="7"/>
      <c r="I393" s="7"/>
      <c r="J393" s="7"/>
      <c r="K393" s="7"/>
      <c r="L393" s="7"/>
      <c r="M393" s="7"/>
      <c r="N393" s="7"/>
      <c r="O393" s="7"/>
      <c r="P393" s="7"/>
      <c r="Q393" s="7"/>
      <c r="R393" s="7"/>
      <c r="S393" s="7"/>
      <c r="T393" s="7"/>
      <c r="U393" s="7"/>
      <c r="V393" s="7"/>
      <c r="W393" s="7"/>
    </row>
    <row r="394" spans="1:23" x14ac:dyDescent="0.25">
      <c r="A394" s="116" t="s">
        <v>224</v>
      </c>
      <c r="B394" s="1"/>
      <c r="C394" s="1"/>
      <c r="D394" s="1"/>
      <c r="E394" s="51"/>
      <c r="F394" s="51"/>
      <c r="G394" s="6"/>
      <c r="H394" s="6"/>
      <c r="I394" s="13"/>
      <c r="J394" s="7"/>
      <c r="K394" s="7"/>
      <c r="L394" s="7"/>
      <c r="M394" s="7"/>
      <c r="N394" s="7"/>
      <c r="O394" s="7"/>
      <c r="P394" s="7"/>
      <c r="Q394" s="7"/>
      <c r="R394" s="7"/>
      <c r="S394" s="7"/>
      <c r="T394" s="7"/>
      <c r="U394" s="7"/>
      <c r="V394" s="7"/>
      <c r="W394" s="7"/>
    </row>
    <row r="395" spans="1:23" x14ac:dyDescent="0.25">
      <c r="A395" s="1" t="str">
        <f>'User Defined Factors'!A18</f>
        <v>User-defined material #1</v>
      </c>
      <c r="B395" s="1"/>
      <c r="C395" s="1"/>
      <c r="D395" s="1"/>
      <c r="E395" s="51" t="str">
        <f>'User Defined Factors'!B18</f>
        <v>TBD</v>
      </c>
      <c r="F395" s="51">
        <f>IFERROR(SUMIFS($D$74:$D$91,$A$74:$A$91,$A395, $H$74:$H$91,"=Yes"),"")</f>
        <v>0</v>
      </c>
      <c r="G395" s="6"/>
      <c r="H395" s="13"/>
      <c r="I395" s="13"/>
      <c r="J395" s="7"/>
      <c r="K395" s="7"/>
      <c r="L395" s="7"/>
      <c r="M395" s="7"/>
      <c r="N395" s="7"/>
      <c r="O395" s="7"/>
      <c r="P395" s="7"/>
      <c r="Q395" s="7"/>
      <c r="R395" s="7"/>
      <c r="S395" s="7"/>
      <c r="T395" s="7"/>
      <c r="U395" s="7"/>
      <c r="V395" s="7"/>
      <c r="W395" s="7"/>
    </row>
    <row r="396" spans="1:23" x14ac:dyDescent="0.25">
      <c r="A396" s="1" t="str">
        <f>'User Defined Factors'!A19</f>
        <v>User-defined material #2</v>
      </c>
      <c r="B396" s="1"/>
      <c r="C396" s="1"/>
      <c r="D396" s="1"/>
      <c r="E396" s="51" t="str">
        <f>'User Defined Factors'!B19</f>
        <v>TBD</v>
      </c>
      <c r="F396" s="51">
        <f t="shared" ref="F396:F414" si="15">IFERROR(SUMIFS($D$74:$D$91,$A$74:$A$91,$A396, $H$74:$H$91,"=Yes"),"")</f>
        <v>0</v>
      </c>
      <c r="G396" s="6"/>
      <c r="H396" s="13"/>
      <c r="I396" s="13"/>
      <c r="J396" s="7"/>
      <c r="K396" s="7"/>
      <c r="L396" s="7"/>
      <c r="M396" s="7"/>
      <c r="N396" s="7"/>
      <c r="O396" s="7"/>
      <c r="P396" s="7"/>
      <c r="Q396" s="7"/>
      <c r="R396" s="7"/>
      <c r="S396" s="7"/>
      <c r="T396" s="7"/>
      <c r="U396" s="7"/>
      <c r="V396" s="7"/>
      <c r="W396" s="7"/>
    </row>
    <row r="397" spans="1:23" x14ac:dyDescent="0.25">
      <c r="A397" s="1" t="str">
        <f>'User Defined Factors'!A20</f>
        <v>User-defined material #3</v>
      </c>
      <c r="B397" s="1"/>
      <c r="C397" s="1"/>
      <c r="D397" s="1"/>
      <c r="E397" s="51" t="str">
        <f>'User Defined Factors'!B20</f>
        <v>TBD</v>
      </c>
      <c r="F397" s="51">
        <f t="shared" si="15"/>
        <v>0</v>
      </c>
      <c r="G397" s="6"/>
      <c r="H397" s="13"/>
      <c r="I397" s="13"/>
      <c r="J397" s="7"/>
      <c r="K397" s="7"/>
      <c r="L397" s="7"/>
      <c r="M397" s="7"/>
      <c r="N397" s="7"/>
      <c r="O397" s="7"/>
      <c r="P397" s="7"/>
      <c r="Q397" s="7"/>
      <c r="R397" s="7"/>
      <c r="S397" s="7"/>
      <c r="T397" s="7"/>
      <c r="U397" s="7"/>
      <c r="V397" s="7"/>
      <c r="W397" s="7"/>
    </row>
    <row r="398" spans="1:23" x14ac:dyDescent="0.25">
      <c r="A398" s="1" t="str">
        <f>'User Defined Factors'!A21</f>
        <v>User-defined material #4</v>
      </c>
      <c r="B398" s="1"/>
      <c r="C398" s="1"/>
      <c r="D398" s="1"/>
      <c r="E398" s="51" t="str">
        <f>'User Defined Factors'!B21</f>
        <v>TBD</v>
      </c>
      <c r="F398" s="51">
        <f t="shared" si="15"/>
        <v>0</v>
      </c>
      <c r="G398" s="6"/>
      <c r="H398" s="13"/>
      <c r="I398" s="13"/>
      <c r="J398" s="7"/>
      <c r="K398" s="7"/>
      <c r="L398" s="7"/>
      <c r="M398" s="7"/>
      <c r="N398" s="7"/>
      <c r="O398" s="7"/>
      <c r="P398" s="7"/>
      <c r="Q398" s="7"/>
      <c r="R398" s="7"/>
      <c r="S398" s="7"/>
      <c r="T398" s="7"/>
      <c r="U398" s="7"/>
      <c r="V398" s="7"/>
      <c r="W398" s="7"/>
    </row>
    <row r="399" spans="1:23" x14ac:dyDescent="0.25">
      <c r="A399" s="1" t="str">
        <f>'User Defined Factors'!A22</f>
        <v>User-defined material #5</v>
      </c>
      <c r="B399" s="1"/>
      <c r="C399" s="1"/>
      <c r="D399" s="1"/>
      <c r="E399" s="51" t="str">
        <f>'User Defined Factors'!B22</f>
        <v>TBD</v>
      </c>
      <c r="F399" s="51">
        <f t="shared" si="15"/>
        <v>0</v>
      </c>
      <c r="G399" s="6"/>
      <c r="H399" s="13"/>
      <c r="I399" s="13"/>
      <c r="J399" s="7"/>
      <c r="K399" s="7"/>
      <c r="L399" s="7"/>
      <c r="M399" s="7"/>
      <c r="N399" s="7"/>
      <c r="O399" s="7"/>
      <c r="P399" s="7"/>
      <c r="Q399" s="7"/>
      <c r="R399" s="7"/>
      <c r="S399" s="7"/>
      <c r="T399" s="7"/>
      <c r="U399" s="7"/>
      <c r="V399" s="7"/>
      <c r="W399" s="7"/>
    </row>
    <row r="400" spans="1:23" x14ac:dyDescent="0.25">
      <c r="A400" s="1" t="str">
        <f>'User Defined Factors'!A23</f>
        <v>User-defined material #6</v>
      </c>
      <c r="B400" s="1"/>
      <c r="C400" s="1"/>
      <c r="D400" s="1"/>
      <c r="E400" s="51" t="str">
        <f>'User Defined Factors'!B23</f>
        <v>TBD</v>
      </c>
      <c r="F400" s="51">
        <f t="shared" si="15"/>
        <v>0</v>
      </c>
      <c r="G400" s="6"/>
      <c r="H400" s="13"/>
      <c r="I400" s="13"/>
      <c r="J400" s="7"/>
      <c r="K400" s="7"/>
      <c r="L400" s="7"/>
      <c r="M400" s="7"/>
      <c r="N400" s="7"/>
      <c r="O400" s="7"/>
      <c r="P400" s="7"/>
      <c r="Q400" s="7"/>
      <c r="R400" s="7"/>
      <c r="S400" s="7"/>
      <c r="T400" s="7"/>
      <c r="U400" s="7"/>
      <c r="V400" s="7"/>
      <c r="W400" s="7"/>
    </row>
    <row r="401" spans="1:23" x14ac:dyDescent="0.25">
      <c r="A401" s="1" t="str">
        <f>'User Defined Factors'!A24</f>
        <v>User-defined material #7</v>
      </c>
      <c r="B401" s="1"/>
      <c r="C401" s="1"/>
      <c r="D401" s="1"/>
      <c r="E401" s="51" t="str">
        <f>'User Defined Factors'!B24</f>
        <v>TBD</v>
      </c>
      <c r="F401" s="51">
        <f t="shared" si="15"/>
        <v>0</v>
      </c>
      <c r="G401" s="6"/>
      <c r="H401" s="13"/>
      <c r="I401" s="13"/>
      <c r="J401" s="7"/>
      <c r="K401" s="7"/>
      <c r="L401" s="7"/>
      <c r="M401" s="7"/>
      <c r="N401" s="7"/>
      <c r="O401" s="7"/>
      <c r="P401" s="7"/>
      <c r="Q401" s="7"/>
      <c r="R401" s="7"/>
      <c r="S401" s="7"/>
      <c r="T401" s="7"/>
      <c r="U401" s="7"/>
      <c r="V401" s="7"/>
      <c r="W401" s="7"/>
    </row>
    <row r="402" spans="1:23" x14ac:dyDescent="0.25">
      <c r="A402" s="1" t="str">
        <f>'User Defined Factors'!A25</f>
        <v>User-defined material #8</v>
      </c>
      <c r="B402" s="1"/>
      <c r="C402" s="1"/>
      <c r="D402" s="1"/>
      <c r="E402" s="51" t="str">
        <f>'User Defined Factors'!B25</f>
        <v>TBD</v>
      </c>
      <c r="F402" s="51">
        <f t="shared" si="15"/>
        <v>0</v>
      </c>
      <c r="G402" s="6"/>
      <c r="H402" s="13"/>
      <c r="I402" s="13"/>
      <c r="J402" s="7"/>
      <c r="K402" s="7"/>
      <c r="L402" s="7"/>
      <c r="M402" s="7"/>
      <c r="N402" s="7"/>
      <c r="O402" s="7"/>
      <c r="P402" s="7"/>
      <c r="Q402" s="7"/>
      <c r="R402" s="7"/>
      <c r="S402" s="7"/>
      <c r="T402" s="7"/>
      <c r="U402" s="7"/>
      <c r="V402" s="7"/>
      <c r="W402" s="7"/>
    </row>
    <row r="403" spans="1:23" x14ac:dyDescent="0.25">
      <c r="A403" s="1" t="str">
        <f>'User Defined Factors'!A26</f>
        <v>User-defined material #9</v>
      </c>
      <c r="B403" s="1"/>
      <c r="C403" s="1"/>
      <c r="D403" s="1"/>
      <c r="E403" s="51" t="str">
        <f>'User Defined Factors'!B26</f>
        <v>TBD</v>
      </c>
      <c r="F403" s="51">
        <f t="shared" si="15"/>
        <v>0</v>
      </c>
      <c r="G403" s="6"/>
      <c r="H403" s="13"/>
      <c r="I403" s="13"/>
      <c r="J403" s="7"/>
      <c r="K403" s="7"/>
      <c r="L403" s="7"/>
      <c r="M403" s="7"/>
      <c r="N403" s="7"/>
      <c r="O403" s="7"/>
      <c r="P403" s="7"/>
      <c r="Q403" s="7"/>
      <c r="R403" s="7"/>
      <c r="S403" s="7"/>
      <c r="T403" s="7"/>
      <c r="U403" s="7"/>
      <c r="V403" s="7"/>
      <c r="W403" s="7"/>
    </row>
    <row r="404" spans="1:23" x14ac:dyDescent="0.25">
      <c r="A404" s="1" t="str">
        <f>'User Defined Factors'!A27</f>
        <v>User-defined material #10</v>
      </c>
      <c r="B404" s="1"/>
      <c r="C404" s="1"/>
      <c r="D404" s="1"/>
      <c r="E404" s="51" t="str">
        <f>'User Defined Factors'!B27</f>
        <v>TBD</v>
      </c>
      <c r="F404" s="51">
        <f t="shared" si="15"/>
        <v>0</v>
      </c>
      <c r="G404" s="6"/>
      <c r="H404" s="13"/>
      <c r="I404" s="13"/>
      <c r="J404" s="7"/>
      <c r="K404" s="7"/>
      <c r="L404" s="7"/>
      <c r="M404" s="7"/>
      <c r="N404" s="7"/>
      <c r="O404" s="7"/>
      <c r="P404" s="7"/>
      <c r="Q404" s="7"/>
      <c r="R404" s="7"/>
      <c r="S404" s="7"/>
      <c r="T404" s="7"/>
      <c r="U404" s="7"/>
      <c r="V404" s="7"/>
      <c r="W404" s="7"/>
    </row>
    <row r="405" spans="1:23" x14ac:dyDescent="0.25">
      <c r="A405" s="1" t="str">
        <f>'User Defined Factors'!A28</f>
        <v>User-defined material #11</v>
      </c>
      <c r="B405" s="1"/>
      <c r="C405" s="1"/>
      <c r="D405" s="1"/>
      <c r="E405" s="51" t="str">
        <f>'User Defined Factors'!B28</f>
        <v>TBD</v>
      </c>
      <c r="F405" s="51">
        <f t="shared" si="15"/>
        <v>0</v>
      </c>
      <c r="G405" s="6"/>
      <c r="H405" s="13"/>
      <c r="I405" s="13"/>
      <c r="J405" s="7"/>
      <c r="K405" s="7"/>
      <c r="L405" s="7"/>
      <c r="M405" s="7"/>
      <c r="N405" s="7"/>
      <c r="O405" s="7"/>
      <c r="P405" s="7"/>
      <c r="Q405" s="7"/>
      <c r="R405" s="7"/>
      <c r="S405" s="7"/>
      <c r="T405" s="7"/>
      <c r="U405" s="7"/>
      <c r="V405" s="7"/>
      <c r="W405" s="7"/>
    </row>
    <row r="406" spans="1:23" x14ac:dyDescent="0.25">
      <c r="A406" s="1" t="str">
        <f>'User Defined Factors'!A29</f>
        <v>User-defined material #12</v>
      </c>
      <c r="B406" s="1"/>
      <c r="C406" s="1"/>
      <c r="D406" s="1"/>
      <c r="E406" s="51" t="str">
        <f>'User Defined Factors'!B29</f>
        <v>TBD</v>
      </c>
      <c r="F406" s="51">
        <f t="shared" si="15"/>
        <v>0</v>
      </c>
      <c r="G406" s="6"/>
      <c r="H406" s="13"/>
      <c r="I406" s="13"/>
      <c r="J406" s="7"/>
      <c r="K406" s="7"/>
      <c r="L406" s="7"/>
      <c r="M406" s="7"/>
      <c r="N406" s="7"/>
      <c r="O406" s="7"/>
      <c r="P406" s="7"/>
      <c r="Q406" s="7"/>
      <c r="R406" s="7"/>
      <c r="S406" s="7"/>
      <c r="T406" s="7"/>
      <c r="U406" s="7"/>
      <c r="V406" s="7"/>
      <c r="W406" s="7"/>
    </row>
    <row r="407" spans="1:23" x14ac:dyDescent="0.25">
      <c r="A407" s="1" t="str">
        <f>'User Defined Factors'!A30</f>
        <v>User-defined material #13</v>
      </c>
      <c r="B407" s="1"/>
      <c r="C407" s="1"/>
      <c r="D407" s="1"/>
      <c r="E407" s="51" t="str">
        <f>'User Defined Factors'!B30</f>
        <v>TBD</v>
      </c>
      <c r="F407" s="51">
        <f t="shared" si="15"/>
        <v>0</v>
      </c>
      <c r="G407" s="6"/>
      <c r="H407" s="13"/>
      <c r="I407" s="13"/>
      <c r="J407" s="7"/>
      <c r="K407" s="7"/>
      <c r="L407" s="7"/>
      <c r="M407" s="7"/>
      <c r="N407" s="7"/>
      <c r="O407" s="7"/>
      <c r="P407" s="7"/>
      <c r="Q407" s="7"/>
      <c r="R407" s="7"/>
      <c r="S407" s="7"/>
      <c r="T407" s="7"/>
      <c r="U407" s="7"/>
      <c r="V407" s="7"/>
      <c r="W407" s="7"/>
    </row>
    <row r="408" spans="1:23" x14ac:dyDescent="0.25">
      <c r="A408" s="1" t="str">
        <f>'User Defined Factors'!A31</f>
        <v>User-defined material #14</v>
      </c>
      <c r="B408" s="1"/>
      <c r="C408" s="1"/>
      <c r="D408" s="1"/>
      <c r="E408" s="51" t="str">
        <f>'User Defined Factors'!B31</f>
        <v>TBD</v>
      </c>
      <c r="F408" s="51">
        <f t="shared" si="15"/>
        <v>0</v>
      </c>
      <c r="G408" s="6"/>
      <c r="H408" s="13"/>
      <c r="I408" s="13"/>
      <c r="J408" s="7"/>
      <c r="K408" s="7"/>
      <c r="L408" s="7"/>
      <c r="M408" s="7"/>
      <c r="N408" s="7"/>
      <c r="O408" s="7"/>
      <c r="P408" s="7"/>
      <c r="Q408" s="7"/>
      <c r="R408" s="7"/>
      <c r="S408" s="7"/>
      <c r="T408" s="7"/>
      <c r="U408" s="7"/>
      <c r="V408" s="7"/>
      <c r="W408" s="7"/>
    </row>
    <row r="409" spans="1:23" x14ac:dyDescent="0.25">
      <c r="A409" s="1" t="str">
        <f>'User Defined Factors'!A32</f>
        <v>User-defined material #15</v>
      </c>
      <c r="B409" s="1"/>
      <c r="C409" s="1"/>
      <c r="D409" s="1"/>
      <c r="E409" s="51" t="str">
        <f>'User Defined Factors'!B32</f>
        <v>TBD</v>
      </c>
      <c r="F409" s="51">
        <f t="shared" si="15"/>
        <v>0</v>
      </c>
      <c r="G409" s="6"/>
      <c r="H409" s="13"/>
      <c r="I409" s="13"/>
      <c r="J409" s="7"/>
      <c r="K409" s="7"/>
      <c r="L409" s="7"/>
      <c r="M409" s="7"/>
      <c r="N409" s="7"/>
      <c r="O409" s="7"/>
      <c r="P409" s="7"/>
      <c r="Q409" s="7"/>
      <c r="R409" s="7"/>
      <c r="S409" s="7"/>
      <c r="T409" s="7"/>
      <c r="U409" s="7"/>
      <c r="V409" s="7"/>
      <c r="W409" s="7"/>
    </row>
    <row r="410" spans="1:23" x14ac:dyDescent="0.25">
      <c r="A410" s="1" t="str">
        <f>'User Defined Factors'!A33</f>
        <v>User-defined material #16</v>
      </c>
      <c r="B410" s="1"/>
      <c r="C410" s="1"/>
      <c r="D410" s="1"/>
      <c r="E410" s="51" t="str">
        <f>'User Defined Factors'!B33</f>
        <v>TBD</v>
      </c>
      <c r="F410" s="51">
        <f t="shared" si="15"/>
        <v>0</v>
      </c>
      <c r="G410" s="6"/>
      <c r="H410" s="13"/>
      <c r="I410" s="13"/>
      <c r="J410" s="7"/>
      <c r="K410" s="7"/>
      <c r="L410" s="7"/>
      <c r="M410" s="7"/>
      <c r="N410" s="7"/>
      <c r="O410" s="7"/>
      <c r="P410" s="7"/>
      <c r="Q410" s="7"/>
      <c r="R410" s="7"/>
      <c r="S410" s="7"/>
      <c r="T410" s="7"/>
      <c r="U410" s="7"/>
      <c r="V410" s="7"/>
      <c r="W410" s="7"/>
    </row>
    <row r="411" spans="1:23" x14ac:dyDescent="0.25">
      <c r="A411" s="1" t="str">
        <f>'User Defined Factors'!A34</f>
        <v>User-defined material #17</v>
      </c>
      <c r="B411" s="1"/>
      <c r="C411" s="1"/>
      <c r="D411" s="1"/>
      <c r="E411" s="51" t="str">
        <f>'User Defined Factors'!B34</f>
        <v>TBD</v>
      </c>
      <c r="F411" s="51">
        <f t="shared" si="15"/>
        <v>0</v>
      </c>
      <c r="G411" s="6"/>
      <c r="H411" s="13"/>
      <c r="I411" s="13"/>
      <c r="J411" s="7"/>
      <c r="K411" s="7"/>
      <c r="L411" s="7"/>
      <c r="M411" s="7"/>
      <c r="N411" s="7"/>
      <c r="O411" s="7"/>
      <c r="P411" s="7"/>
      <c r="Q411" s="7"/>
      <c r="R411" s="7"/>
      <c r="S411" s="7"/>
      <c r="T411" s="7"/>
      <c r="U411" s="7"/>
      <c r="V411" s="7"/>
      <c r="W411" s="7"/>
    </row>
    <row r="412" spans="1:23" x14ac:dyDescent="0.25">
      <c r="A412" s="1" t="str">
        <f>'User Defined Factors'!A35</f>
        <v>User-defined material #18</v>
      </c>
      <c r="B412" s="1"/>
      <c r="C412" s="1"/>
      <c r="D412" s="1"/>
      <c r="E412" s="51" t="str">
        <f>'User Defined Factors'!B35</f>
        <v>TBD</v>
      </c>
      <c r="F412" s="51">
        <f t="shared" si="15"/>
        <v>0</v>
      </c>
      <c r="G412" s="6"/>
      <c r="H412" s="13"/>
      <c r="I412" s="13"/>
      <c r="J412" s="7"/>
      <c r="K412" s="7"/>
      <c r="L412" s="7"/>
      <c r="M412" s="7"/>
      <c r="N412" s="7"/>
      <c r="O412" s="7"/>
      <c r="P412" s="7"/>
      <c r="Q412" s="7"/>
      <c r="R412" s="7"/>
      <c r="S412" s="7"/>
      <c r="T412" s="7"/>
      <c r="U412" s="7"/>
      <c r="V412" s="7"/>
      <c r="W412" s="7"/>
    </row>
    <row r="413" spans="1:23" x14ac:dyDescent="0.25">
      <c r="A413" s="1" t="str">
        <f>'User Defined Factors'!A36</f>
        <v>User-defined material #19</v>
      </c>
      <c r="B413" s="1"/>
      <c r="C413" s="1"/>
      <c r="D413" s="1"/>
      <c r="E413" s="51" t="str">
        <f>'User Defined Factors'!B36</f>
        <v>TBD</v>
      </c>
      <c r="F413" s="51">
        <f t="shared" si="15"/>
        <v>0</v>
      </c>
      <c r="G413" s="6"/>
      <c r="H413" s="13"/>
      <c r="I413" s="13"/>
      <c r="J413" s="7"/>
      <c r="K413" s="7"/>
      <c r="L413" s="7"/>
      <c r="M413" s="7"/>
      <c r="N413" s="7"/>
      <c r="O413" s="7"/>
      <c r="P413" s="7"/>
      <c r="Q413" s="7"/>
      <c r="R413" s="7"/>
      <c r="S413" s="7"/>
      <c r="T413" s="7"/>
      <c r="U413" s="7"/>
      <c r="V413" s="7"/>
      <c r="W413" s="7"/>
    </row>
    <row r="414" spans="1:23" x14ac:dyDescent="0.25">
      <c r="A414" s="1" t="str">
        <f>'User Defined Factors'!A37</f>
        <v>User-defined material #20</v>
      </c>
      <c r="B414" s="1"/>
      <c r="C414" s="1"/>
      <c r="D414" s="1"/>
      <c r="E414" s="51" t="str">
        <f>'User Defined Factors'!B37</f>
        <v>TBD</v>
      </c>
      <c r="F414" s="51">
        <f t="shared" si="15"/>
        <v>0</v>
      </c>
      <c r="G414" s="6"/>
      <c r="H414" s="13"/>
      <c r="I414" s="13"/>
      <c r="J414" s="7"/>
      <c r="K414" s="7"/>
      <c r="L414" s="7"/>
      <c r="M414" s="7"/>
      <c r="N414" s="7"/>
      <c r="O414" s="7"/>
      <c r="P414" s="7"/>
      <c r="Q414" s="7"/>
      <c r="R414" s="7"/>
      <c r="S414" s="7"/>
      <c r="T414" s="7"/>
      <c r="U414" s="7"/>
      <c r="V414" s="7"/>
      <c r="W414" s="7"/>
    </row>
    <row r="415" spans="1:23" x14ac:dyDescent="0.25">
      <c r="A415" s="1"/>
      <c r="B415" s="1"/>
      <c r="C415" s="1"/>
      <c r="D415" s="1"/>
      <c r="E415" s="1"/>
      <c r="F415" s="1"/>
      <c r="G415" s="7"/>
      <c r="H415" s="7"/>
      <c r="I415" s="7"/>
      <c r="J415" s="7"/>
      <c r="K415" s="7"/>
      <c r="L415" s="7"/>
      <c r="M415" s="7"/>
      <c r="N415" s="7"/>
      <c r="O415" s="7"/>
      <c r="P415" s="7"/>
      <c r="Q415" s="7"/>
      <c r="R415" s="7"/>
      <c r="S415" s="7"/>
      <c r="T415" s="7"/>
      <c r="U415" s="7"/>
      <c r="V415" s="7"/>
      <c r="W415" s="7"/>
    </row>
    <row r="416" spans="1:23" x14ac:dyDescent="0.25">
      <c r="A416" s="116" t="s">
        <v>217</v>
      </c>
      <c r="B416" s="1"/>
      <c r="C416" s="1"/>
      <c r="D416" s="1"/>
      <c r="E416" s="1"/>
      <c r="F416" s="1"/>
      <c r="G416" s="51" t="s">
        <v>221</v>
      </c>
      <c r="H416" s="51" t="s">
        <v>222</v>
      </c>
      <c r="I416" s="7"/>
      <c r="J416" s="7"/>
      <c r="K416" s="7"/>
      <c r="L416" s="7"/>
      <c r="M416" s="7"/>
      <c r="N416" s="7"/>
      <c r="O416" s="7"/>
      <c r="P416" s="7"/>
      <c r="Q416" s="7"/>
      <c r="R416" s="7"/>
      <c r="S416" s="7"/>
      <c r="T416" s="7"/>
      <c r="U416" s="7"/>
      <c r="V416" s="7"/>
      <c r="W416" s="7"/>
    </row>
    <row r="417" spans="1:23" x14ac:dyDescent="0.25">
      <c r="A417" s="1" t="str">
        <f>'User Defined Factors'!A40</f>
        <v>User-defined recycled/reused on-site #1</v>
      </c>
      <c r="B417" s="1"/>
      <c r="C417" s="1"/>
      <c r="D417" s="1"/>
      <c r="E417" s="51" t="str">
        <f>'User Defined Factors'!B40</f>
        <v>TBD</v>
      </c>
      <c r="F417" s="51">
        <f ca="1">IFERROR(SUMIF($A$105:$B$116,"="&amp;A417,$D$105:$D$116),"")</f>
        <v>0</v>
      </c>
      <c r="G417" s="51" t="s">
        <v>4</v>
      </c>
      <c r="H417" s="163">
        <f ca="1">IFERROR(SUMIF($A$105:$B$116,"="&amp;A417,$E$105:$E$116),"")</f>
        <v>0</v>
      </c>
      <c r="I417" s="7"/>
      <c r="J417" s="7"/>
      <c r="K417" s="7"/>
      <c r="L417" s="7"/>
      <c r="M417" s="7"/>
      <c r="N417" s="7"/>
      <c r="O417" s="7"/>
      <c r="P417" s="7"/>
      <c r="Q417" s="7"/>
      <c r="R417" s="7"/>
      <c r="S417" s="7"/>
      <c r="T417" s="7"/>
      <c r="U417" s="7"/>
      <c r="V417" s="7"/>
      <c r="W417" s="7"/>
    </row>
    <row r="418" spans="1:23" x14ac:dyDescent="0.25">
      <c r="A418" s="1" t="str">
        <f>'User Defined Factors'!A41</f>
        <v>User-defined recycled/reused on-site #2</v>
      </c>
      <c r="B418" s="1"/>
      <c r="C418" s="1"/>
      <c r="D418" s="1"/>
      <c r="E418" s="51" t="str">
        <f>'User Defined Factors'!B41</f>
        <v>TBD</v>
      </c>
      <c r="F418" s="51">
        <f t="shared" ref="F418:F424" ca="1" si="16">IFERROR(SUMIF($A$105:$B$116,"="&amp;A418,$D$105:$D$116),"")</f>
        <v>0</v>
      </c>
      <c r="G418" s="51" t="s">
        <v>4</v>
      </c>
      <c r="H418" s="163">
        <f t="shared" ref="H418:H428" ca="1" si="17">IFERROR(SUMIF($A$105:$B$116,"="&amp;A418,$E$105:$E$116),"")</f>
        <v>0</v>
      </c>
      <c r="I418" s="7"/>
      <c r="J418" s="7"/>
      <c r="K418" s="7"/>
      <c r="L418" s="7"/>
      <c r="M418" s="7"/>
      <c r="N418" s="7"/>
      <c r="O418" s="7"/>
      <c r="P418" s="7"/>
      <c r="Q418" s="7"/>
      <c r="R418" s="7"/>
      <c r="S418" s="7"/>
      <c r="T418" s="7"/>
      <c r="U418" s="7"/>
      <c r="V418" s="7"/>
      <c r="W418" s="7"/>
    </row>
    <row r="419" spans="1:23" x14ac:dyDescent="0.25">
      <c r="A419" s="1" t="str">
        <f>'User Defined Factors'!A42</f>
        <v>User-defined recycled/reused on-site #3</v>
      </c>
      <c r="B419" s="1"/>
      <c r="C419" s="1"/>
      <c r="D419" s="1"/>
      <c r="E419" s="51" t="str">
        <f>'User Defined Factors'!B42</f>
        <v>TBD</v>
      </c>
      <c r="F419" s="51">
        <f t="shared" ca="1" si="16"/>
        <v>0</v>
      </c>
      <c r="G419" s="51" t="s">
        <v>4</v>
      </c>
      <c r="H419" s="163">
        <f t="shared" ca="1" si="17"/>
        <v>0</v>
      </c>
      <c r="I419" s="7"/>
      <c r="J419" s="7"/>
      <c r="K419" s="7"/>
      <c r="L419" s="7"/>
      <c r="M419" s="7"/>
      <c r="N419" s="7"/>
      <c r="O419" s="7"/>
      <c r="P419" s="7"/>
      <c r="Q419" s="7"/>
      <c r="R419" s="7"/>
      <c r="S419" s="7"/>
      <c r="T419" s="7"/>
      <c r="U419" s="7"/>
      <c r="V419" s="7"/>
      <c r="W419" s="7"/>
    </row>
    <row r="420" spans="1:23" x14ac:dyDescent="0.25">
      <c r="A420" s="1" t="str">
        <f>'User Defined Factors'!A43</f>
        <v>User-defined recycled/reused off-site #1</v>
      </c>
      <c r="B420" s="1"/>
      <c r="C420" s="1"/>
      <c r="D420" s="1"/>
      <c r="E420" s="51" t="str">
        <f>'User Defined Factors'!B43</f>
        <v>TBD</v>
      </c>
      <c r="F420" s="51">
        <f t="shared" ca="1" si="16"/>
        <v>0</v>
      </c>
      <c r="G420" s="51" t="s">
        <v>4</v>
      </c>
      <c r="H420" s="163">
        <f t="shared" ca="1" si="17"/>
        <v>0</v>
      </c>
      <c r="I420" s="7"/>
      <c r="J420" s="7"/>
      <c r="K420" s="7"/>
      <c r="L420" s="7"/>
      <c r="M420" s="7"/>
      <c r="N420" s="7"/>
      <c r="O420" s="7"/>
      <c r="P420" s="7"/>
      <c r="Q420" s="7"/>
      <c r="R420" s="7"/>
      <c r="S420" s="7"/>
      <c r="T420" s="7"/>
      <c r="U420" s="7"/>
      <c r="V420" s="7"/>
      <c r="W420" s="7"/>
    </row>
    <row r="421" spans="1:23" x14ac:dyDescent="0.25">
      <c r="A421" s="1" t="str">
        <f>'User Defined Factors'!A44</f>
        <v>User-defined recycled/reused off-site #2</v>
      </c>
      <c r="B421" s="1"/>
      <c r="C421" s="1"/>
      <c r="D421" s="1"/>
      <c r="E421" s="51" t="str">
        <f>'User Defined Factors'!B44</f>
        <v>TBD</v>
      </c>
      <c r="F421" s="51">
        <f t="shared" ca="1" si="16"/>
        <v>0</v>
      </c>
      <c r="G421" s="51" t="s">
        <v>4</v>
      </c>
      <c r="H421" s="163">
        <f t="shared" ca="1" si="17"/>
        <v>0</v>
      </c>
      <c r="I421" s="7"/>
      <c r="J421" s="7"/>
      <c r="K421" s="7"/>
      <c r="L421" s="7"/>
      <c r="M421" s="7"/>
      <c r="N421" s="7"/>
      <c r="O421" s="7"/>
      <c r="P421" s="7"/>
      <c r="Q421" s="7"/>
      <c r="R421" s="7"/>
      <c r="S421" s="7"/>
      <c r="T421" s="7"/>
      <c r="U421" s="7"/>
      <c r="V421" s="7"/>
      <c r="W421" s="7"/>
    </row>
    <row r="422" spans="1:23" x14ac:dyDescent="0.25">
      <c r="A422" s="1" t="str">
        <f>'User Defined Factors'!A45</f>
        <v>User-defined recycled/reused off-site #3</v>
      </c>
      <c r="B422" s="1"/>
      <c r="C422" s="1"/>
      <c r="D422" s="1"/>
      <c r="E422" s="51" t="str">
        <f>'User Defined Factors'!B45</f>
        <v>TBD</v>
      </c>
      <c r="F422" s="51">
        <f t="shared" ca="1" si="16"/>
        <v>0</v>
      </c>
      <c r="G422" s="51" t="s">
        <v>4</v>
      </c>
      <c r="H422" s="163">
        <f t="shared" ca="1" si="17"/>
        <v>0</v>
      </c>
      <c r="I422" s="7"/>
      <c r="J422" s="7"/>
      <c r="K422" s="7"/>
      <c r="L422" s="7"/>
      <c r="M422" s="7"/>
      <c r="N422" s="7"/>
      <c r="O422" s="7"/>
      <c r="P422" s="7"/>
      <c r="Q422" s="7"/>
      <c r="R422" s="7"/>
      <c r="S422" s="7"/>
      <c r="T422" s="7"/>
      <c r="U422" s="7"/>
      <c r="V422" s="7"/>
      <c r="W422" s="7"/>
    </row>
    <row r="423" spans="1:23" x14ac:dyDescent="0.25">
      <c r="A423" s="1" t="str">
        <f>'User Defined Factors'!A46</f>
        <v>User-defined non-hazardous waste destination #1</v>
      </c>
      <c r="B423" s="1"/>
      <c r="C423" s="1"/>
      <c r="D423" s="1"/>
      <c r="E423" s="51" t="str">
        <f>'User Defined Factors'!B46</f>
        <v>TBD</v>
      </c>
      <c r="F423" s="51">
        <f ca="1">IFERROR(SUMIF($A$105:$B$116,"="&amp;A423,$D$105:$D$116),"")</f>
        <v>0</v>
      </c>
      <c r="G423" s="51" t="s">
        <v>4</v>
      </c>
      <c r="H423" s="163">
        <f t="shared" ca="1" si="17"/>
        <v>0</v>
      </c>
      <c r="I423" s="7"/>
      <c r="J423" s="7"/>
      <c r="K423" s="7"/>
      <c r="L423" s="7"/>
      <c r="M423" s="7"/>
      <c r="N423" s="7"/>
      <c r="O423" s="7"/>
      <c r="P423" s="7"/>
      <c r="Q423" s="7"/>
      <c r="R423" s="7"/>
      <c r="S423" s="7"/>
      <c r="T423" s="7"/>
      <c r="U423" s="7"/>
      <c r="V423" s="7"/>
      <c r="W423" s="7"/>
    </row>
    <row r="424" spans="1:23" x14ac:dyDescent="0.25">
      <c r="A424" s="1" t="str">
        <f>'User Defined Factors'!A47</f>
        <v>User-defined non-hazardous waste destination #2</v>
      </c>
      <c r="B424" s="1"/>
      <c r="C424" s="1"/>
      <c r="D424" s="1"/>
      <c r="E424" s="51" t="str">
        <f>'User Defined Factors'!B47</f>
        <v>TBD</v>
      </c>
      <c r="F424" s="51">
        <f t="shared" ca="1" si="16"/>
        <v>0</v>
      </c>
      <c r="G424" s="51" t="s">
        <v>4</v>
      </c>
      <c r="H424" s="163">
        <f t="shared" ca="1" si="17"/>
        <v>0</v>
      </c>
      <c r="I424" s="7"/>
      <c r="J424" s="7"/>
      <c r="K424" s="7"/>
      <c r="L424" s="7"/>
      <c r="M424" s="7"/>
      <c r="N424" s="7"/>
      <c r="O424" s="7"/>
      <c r="P424" s="7"/>
      <c r="Q424" s="7"/>
      <c r="R424" s="7"/>
      <c r="S424" s="7"/>
      <c r="T424" s="7"/>
      <c r="U424" s="7"/>
      <c r="V424" s="7"/>
      <c r="W424" s="7"/>
    </row>
    <row r="425" spans="1:23" x14ac:dyDescent="0.25">
      <c r="A425" s="1" t="str">
        <f>'User Defined Factors'!A48</f>
        <v>User-defined non-hazardous waste destination #3</v>
      </c>
      <c r="B425" s="1"/>
      <c r="C425" s="1"/>
      <c r="D425" s="1"/>
      <c r="E425" s="51" t="str">
        <f>'User Defined Factors'!B48</f>
        <v>TBD</v>
      </c>
      <c r="F425" s="51">
        <f ca="1">IFERROR(SUMIF($A$105:$B$116,"="&amp;A425,$D$105:$D$116),"")</f>
        <v>0</v>
      </c>
      <c r="G425" s="51" t="s">
        <v>4</v>
      </c>
      <c r="H425" s="163">
        <f t="shared" ca="1" si="17"/>
        <v>0</v>
      </c>
      <c r="I425" s="7"/>
      <c r="J425" s="7"/>
      <c r="K425" s="7"/>
      <c r="L425" s="7"/>
      <c r="M425" s="7"/>
      <c r="N425" s="7"/>
      <c r="O425" s="7"/>
      <c r="P425" s="7"/>
      <c r="Q425" s="7"/>
      <c r="R425" s="7"/>
      <c r="S425" s="7"/>
      <c r="T425" s="7"/>
      <c r="U425" s="7"/>
      <c r="V425" s="7"/>
      <c r="W425" s="7"/>
    </row>
    <row r="426" spans="1:23" x14ac:dyDescent="0.25">
      <c r="A426" s="1" t="str">
        <f>'User Defined Factors'!A49</f>
        <v>User-defined hazardous waste destination #1</v>
      </c>
      <c r="B426" s="118"/>
      <c r="C426" s="118"/>
      <c r="D426" s="118"/>
      <c r="E426" s="51" t="str">
        <f>'User Defined Factors'!B49</f>
        <v>TBD</v>
      </c>
      <c r="F426" s="51">
        <f t="shared" ref="F426:F428" ca="1" si="18">IFERROR(SUMIF($A$105:$B$116,"="&amp;A426,$D$105:$D$116),"")</f>
        <v>0</v>
      </c>
      <c r="G426" s="51" t="s">
        <v>4</v>
      </c>
      <c r="H426" s="163">
        <f t="shared" ca="1" si="17"/>
        <v>0</v>
      </c>
      <c r="I426" s="7"/>
      <c r="J426" s="7"/>
      <c r="K426" s="7"/>
      <c r="L426" s="7"/>
      <c r="M426" s="7"/>
      <c r="N426" s="7"/>
      <c r="O426" s="7"/>
      <c r="P426" s="7"/>
      <c r="Q426" s="7"/>
      <c r="R426" s="7"/>
      <c r="S426" s="7"/>
      <c r="T426" s="7"/>
      <c r="U426" s="7"/>
      <c r="V426" s="7"/>
      <c r="W426" s="7"/>
    </row>
    <row r="427" spans="1:23" x14ac:dyDescent="0.25">
      <c r="A427" s="1" t="str">
        <f>'User Defined Factors'!A50</f>
        <v>User-defined hazardous waste destination #2</v>
      </c>
      <c r="B427" s="118"/>
      <c r="C427" s="118"/>
      <c r="D427" s="118"/>
      <c r="E427" s="51" t="str">
        <f>'User Defined Factors'!B50</f>
        <v>TBD</v>
      </c>
      <c r="F427" s="51">
        <f t="shared" ca="1" si="18"/>
        <v>0</v>
      </c>
      <c r="G427" s="51" t="s">
        <v>4</v>
      </c>
      <c r="H427" s="163">
        <f t="shared" ca="1" si="17"/>
        <v>0</v>
      </c>
      <c r="I427" s="7"/>
      <c r="J427" s="7"/>
      <c r="K427" s="7"/>
      <c r="L427" s="7"/>
      <c r="M427" s="7"/>
      <c r="N427" s="7"/>
      <c r="O427" s="7"/>
      <c r="P427" s="7"/>
      <c r="Q427" s="7"/>
      <c r="R427" s="7"/>
      <c r="S427" s="7"/>
      <c r="T427" s="7"/>
      <c r="U427" s="7"/>
      <c r="V427" s="7"/>
      <c r="W427" s="7"/>
    </row>
    <row r="428" spans="1:23" x14ac:dyDescent="0.25">
      <c r="A428" s="1" t="str">
        <f>'User Defined Factors'!A51</f>
        <v>User-defined hazardous waste destination #3</v>
      </c>
      <c r="B428" s="118"/>
      <c r="C428" s="118"/>
      <c r="D428" s="118"/>
      <c r="E428" s="51" t="str">
        <f>'User Defined Factors'!B51</f>
        <v>TBD</v>
      </c>
      <c r="F428" s="51">
        <f t="shared" ca="1" si="18"/>
        <v>0</v>
      </c>
      <c r="G428" s="51" t="s">
        <v>4</v>
      </c>
      <c r="H428" s="163">
        <f t="shared" ca="1" si="17"/>
        <v>0</v>
      </c>
      <c r="I428" s="7"/>
      <c r="J428" s="7"/>
      <c r="K428" s="7"/>
      <c r="L428" s="7"/>
      <c r="M428" s="7"/>
      <c r="N428" s="7"/>
      <c r="O428" s="7"/>
      <c r="P428" s="7"/>
      <c r="Q428" s="7"/>
      <c r="R428" s="7"/>
      <c r="S428" s="7"/>
      <c r="T428" s="7"/>
      <c r="U428" s="7"/>
      <c r="V428" s="7"/>
      <c r="W428" s="7"/>
    </row>
    <row r="429" spans="1:23" x14ac:dyDescent="0.25">
      <c r="A429" s="7"/>
      <c r="B429" s="7"/>
      <c r="C429" s="7"/>
      <c r="D429" s="7"/>
      <c r="E429" s="7"/>
      <c r="F429" s="7"/>
      <c r="G429" s="7"/>
      <c r="H429" s="7"/>
      <c r="I429" s="7"/>
      <c r="J429" s="7"/>
      <c r="K429" s="7"/>
      <c r="L429" s="7"/>
      <c r="M429" s="7"/>
      <c r="N429" s="7"/>
      <c r="O429" s="7"/>
      <c r="P429" s="7"/>
      <c r="Q429" s="7"/>
      <c r="R429" s="7"/>
      <c r="S429" s="7"/>
      <c r="T429" s="7"/>
      <c r="U429" s="7"/>
      <c r="V429" s="7"/>
      <c r="W429" s="7"/>
    </row>
    <row r="430" spans="1:23" x14ac:dyDescent="0.25">
      <c r="A430" s="7"/>
      <c r="B430" s="7"/>
      <c r="C430" s="7"/>
      <c r="D430" s="7"/>
      <c r="E430" s="7"/>
      <c r="F430" s="7"/>
      <c r="G430" s="7"/>
      <c r="H430" s="7"/>
      <c r="I430" s="7"/>
      <c r="J430" s="7"/>
      <c r="K430" s="7"/>
      <c r="L430" s="7"/>
      <c r="M430" s="7"/>
      <c r="N430" s="7"/>
      <c r="O430" s="7"/>
      <c r="P430" s="7"/>
      <c r="Q430" s="7"/>
      <c r="R430" s="7"/>
      <c r="S430" s="7"/>
      <c r="T430" s="7"/>
      <c r="U430" s="7"/>
      <c r="V430" s="7"/>
      <c r="W430" s="7"/>
    </row>
    <row r="431" spans="1:23" x14ac:dyDescent="0.25">
      <c r="A431" s="7"/>
      <c r="B431" s="7"/>
      <c r="C431" s="7"/>
      <c r="D431" s="7"/>
      <c r="E431" s="7"/>
      <c r="F431" s="7"/>
      <c r="G431" s="7"/>
      <c r="H431" s="7"/>
      <c r="I431" s="7"/>
      <c r="J431" s="7"/>
      <c r="K431" s="7"/>
      <c r="L431" s="7"/>
      <c r="M431" s="7"/>
      <c r="N431" s="7"/>
      <c r="O431" s="7"/>
      <c r="P431" s="7"/>
      <c r="Q431" s="7"/>
      <c r="R431" s="7"/>
      <c r="S431" s="7"/>
      <c r="T431" s="7"/>
      <c r="U431" s="7"/>
      <c r="V431" s="7"/>
      <c r="W431" s="7"/>
    </row>
    <row r="432" spans="1:23" x14ac:dyDescent="0.25">
      <c r="A432" s="7"/>
      <c r="B432" s="7"/>
      <c r="C432" s="7"/>
      <c r="D432" s="7"/>
      <c r="E432" s="7"/>
      <c r="F432" s="7"/>
      <c r="G432" s="7"/>
      <c r="H432" s="7"/>
      <c r="I432" s="7"/>
      <c r="J432" s="7"/>
      <c r="K432" s="7"/>
      <c r="L432" s="7"/>
      <c r="M432" s="7"/>
      <c r="N432" s="7"/>
      <c r="O432" s="7"/>
      <c r="P432" s="7"/>
      <c r="Q432" s="7"/>
      <c r="R432" s="7"/>
      <c r="S432" s="7"/>
      <c r="T432" s="7"/>
      <c r="U432" s="7"/>
      <c r="V432" s="7"/>
      <c r="W432" s="7"/>
    </row>
    <row r="433" spans="1:23" x14ac:dyDescent="0.25">
      <c r="A433" s="7"/>
      <c r="B433" s="7"/>
      <c r="C433" s="7"/>
      <c r="D433" s="7"/>
      <c r="E433" s="7"/>
      <c r="F433" s="7"/>
      <c r="G433" s="7"/>
      <c r="H433" s="7"/>
      <c r="I433" s="7"/>
      <c r="J433" s="7"/>
      <c r="K433" s="7"/>
      <c r="L433" s="7"/>
      <c r="M433" s="7"/>
      <c r="N433" s="7"/>
      <c r="O433" s="7"/>
      <c r="P433" s="7"/>
      <c r="Q433" s="7"/>
      <c r="R433" s="7"/>
      <c r="S433" s="7"/>
      <c r="T433" s="7"/>
      <c r="U433" s="7"/>
      <c r="V433" s="7"/>
      <c r="W433" s="7"/>
    </row>
    <row r="434" spans="1:23" x14ac:dyDescent="0.25">
      <c r="A434" s="7"/>
      <c r="B434" s="7"/>
      <c r="C434" s="7"/>
      <c r="D434" s="7"/>
      <c r="E434" s="7"/>
      <c r="F434" s="7"/>
      <c r="G434" s="7"/>
      <c r="H434" s="7"/>
      <c r="I434" s="7"/>
      <c r="J434" s="7"/>
      <c r="K434" s="7"/>
      <c r="L434" s="7"/>
      <c r="M434" s="7"/>
      <c r="N434" s="7"/>
      <c r="O434" s="7"/>
      <c r="P434" s="7"/>
      <c r="Q434" s="7"/>
      <c r="R434" s="7"/>
      <c r="S434" s="7"/>
      <c r="T434" s="7"/>
      <c r="U434" s="7"/>
      <c r="V434" s="7"/>
      <c r="W434" s="7"/>
    </row>
    <row r="435" spans="1:23" x14ac:dyDescent="0.25">
      <c r="A435" s="7"/>
      <c r="B435" s="7"/>
      <c r="C435" s="7"/>
      <c r="D435" s="7"/>
      <c r="E435" s="7"/>
      <c r="F435" s="7"/>
      <c r="G435" s="7"/>
      <c r="H435" s="7"/>
      <c r="I435" s="7"/>
      <c r="J435" s="7"/>
      <c r="K435" s="7"/>
      <c r="L435" s="7"/>
      <c r="M435" s="7"/>
      <c r="N435" s="7"/>
      <c r="O435" s="7"/>
      <c r="P435" s="7"/>
      <c r="Q435" s="7"/>
      <c r="R435" s="7"/>
      <c r="S435" s="7"/>
      <c r="T435" s="7"/>
      <c r="U435" s="7"/>
      <c r="V435" s="7"/>
      <c r="W435" s="7"/>
    </row>
    <row r="436" spans="1:23" x14ac:dyDescent="0.25">
      <c r="A436" s="7"/>
      <c r="B436" s="7"/>
      <c r="C436" s="7"/>
      <c r="D436" s="7"/>
      <c r="E436" s="7"/>
      <c r="F436" s="7"/>
      <c r="G436" s="7"/>
      <c r="H436" s="7"/>
      <c r="I436" s="7"/>
      <c r="J436" s="7"/>
      <c r="K436" s="7"/>
      <c r="L436" s="7"/>
      <c r="M436" s="7"/>
      <c r="N436" s="7"/>
      <c r="O436" s="7"/>
      <c r="P436" s="7"/>
      <c r="Q436" s="7"/>
      <c r="R436" s="7"/>
      <c r="S436" s="7"/>
      <c r="T436" s="7"/>
      <c r="U436" s="7"/>
      <c r="V436" s="7"/>
      <c r="W436" s="7"/>
    </row>
    <row r="437" spans="1:23" x14ac:dyDescent="0.25">
      <c r="A437" s="7"/>
      <c r="B437" s="7"/>
      <c r="C437" s="7"/>
      <c r="D437" s="7"/>
      <c r="E437" s="7"/>
      <c r="F437" s="7"/>
      <c r="G437" s="7"/>
      <c r="H437" s="7"/>
      <c r="I437" s="7"/>
      <c r="J437" s="7"/>
      <c r="K437" s="7"/>
      <c r="L437" s="7"/>
      <c r="M437" s="7"/>
      <c r="N437" s="7"/>
      <c r="O437" s="7"/>
      <c r="P437" s="7"/>
      <c r="Q437" s="7"/>
      <c r="R437" s="7"/>
      <c r="S437" s="7"/>
      <c r="T437" s="7"/>
      <c r="U437" s="7"/>
      <c r="V437" s="7"/>
      <c r="W437" s="7"/>
    </row>
    <row r="438" spans="1:23" x14ac:dyDescent="0.25">
      <c r="A438" s="7"/>
      <c r="B438" s="7"/>
      <c r="C438" s="7"/>
      <c r="D438" s="7"/>
      <c r="E438" s="7"/>
      <c r="F438" s="7"/>
      <c r="G438" s="7"/>
      <c r="H438" s="7"/>
      <c r="I438" s="7"/>
      <c r="J438" s="7"/>
      <c r="K438" s="7"/>
      <c r="L438" s="7"/>
      <c r="M438" s="7"/>
      <c r="N438" s="7"/>
      <c r="O438" s="7"/>
      <c r="P438" s="7"/>
      <c r="Q438" s="7"/>
      <c r="R438" s="7"/>
      <c r="S438" s="7"/>
      <c r="T438" s="7"/>
      <c r="U438" s="7"/>
      <c r="V438" s="7"/>
      <c r="W438" s="7"/>
    </row>
    <row r="439" spans="1:23" x14ac:dyDescent="0.25">
      <c r="A439" s="7"/>
      <c r="B439" s="7"/>
      <c r="C439" s="7"/>
      <c r="D439" s="7"/>
      <c r="E439" s="7"/>
      <c r="F439" s="7"/>
      <c r="G439" s="7"/>
      <c r="H439" s="7"/>
      <c r="I439" s="7"/>
      <c r="J439" s="7"/>
      <c r="K439" s="7"/>
      <c r="L439" s="7"/>
      <c r="M439" s="7"/>
      <c r="N439" s="7"/>
      <c r="O439" s="7"/>
      <c r="P439" s="7"/>
      <c r="Q439" s="7"/>
      <c r="R439" s="7"/>
      <c r="S439" s="7"/>
      <c r="T439" s="7"/>
      <c r="U439" s="7"/>
      <c r="V439" s="7"/>
      <c r="W439" s="7"/>
    </row>
    <row r="440" spans="1:23" x14ac:dyDescent="0.25">
      <c r="A440" s="7"/>
      <c r="B440" s="7"/>
      <c r="C440" s="7"/>
      <c r="D440" s="7"/>
      <c r="E440" s="7"/>
      <c r="F440" s="7"/>
      <c r="G440" s="7"/>
      <c r="H440" s="7"/>
      <c r="I440" s="7"/>
      <c r="J440" s="7"/>
      <c r="K440" s="7"/>
      <c r="L440" s="7"/>
      <c r="M440" s="7"/>
      <c r="N440" s="7"/>
      <c r="O440" s="7"/>
      <c r="P440" s="7"/>
      <c r="Q440" s="7"/>
      <c r="R440" s="7"/>
      <c r="S440" s="7"/>
      <c r="T440" s="7"/>
      <c r="U440" s="7"/>
      <c r="V440" s="7"/>
      <c r="W440" s="7"/>
    </row>
    <row r="441" spans="1:23" x14ac:dyDescent="0.25">
      <c r="A441" s="7"/>
      <c r="B441" s="7"/>
      <c r="C441" s="7"/>
      <c r="D441" s="7"/>
      <c r="E441" s="7"/>
      <c r="F441" s="7"/>
      <c r="G441" s="7"/>
      <c r="H441" s="7"/>
      <c r="I441" s="7"/>
      <c r="J441" s="7"/>
      <c r="K441" s="7"/>
      <c r="L441" s="7"/>
      <c r="M441" s="7"/>
      <c r="N441" s="7"/>
      <c r="O441" s="7"/>
      <c r="P441" s="7"/>
      <c r="Q441" s="7"/>
      <c r="R441" s="7"/>
      <c r="S441" s="7"/>
      <c r="T441" s="7"/>
      <c r="U441" s="7"/>
      <c r="V441" s="7"/>
      <c r="W441" s="7"/>
    </row>
    <row r="442" spans="1:23" x14ac:dyDescent="0.25">
      <c r="A442" s="7"/>
      <c r="B442" s="7"/>
      <c r="C442" s="7"/>
      <c r="D442" s="7"/>
      <c r="E442" s="7"/>
      <c r="F442" s="7"/>
      <c r="G442" s="7"/>
      <c r="H442" s="7"/>
      <c r="I442" s="7"/>
      <c r="J442" s="7"/>
      <c r="K442" s="7"/>
      <c r="L442" s="7"/>
      <c r="M442" s="7"/>
      <c r="N442" s="7"/>
      <c r="O442" s="7"/>
      <c r="P442" s="7"/>
      <c r="Q442" s="7"/>
      <c r="R442" s="7"/>
      <c r="S442" s="7"/>
      <c r="T442" s="7"/>
      <c r="U442" s="7"/>
      <c r="V442" s="7"/>
      <c r="W442" s="7"/>
    </row>
    <row r="443" spans="1:23" x14ac:dyDescent="0.25">
      <c r="A443" s="7"/>
      <c r="B443" s="7"/>
      <c r="C443" s="7"/>
      <c r="D443" s="7"/>
      <c r="E443" s="7"/>
      <c r="F443" s="7"/>
      <c r="G443" s="7"/>
      <c r="H443" s="7"/>
      <c r="I443" s="7"/>
      <c r="J443" s="7"/>
      <c r="K443" s="7"/>
      <c r="L443" s="7"/>
      <c r="M443" s="7"/>
      <c r="N443" s="7"/>
      <c r="O443" s="7"/>
      <c r="P443" s="7"/>
      <c r="Q443" s="7"/>
      <c r="R443" s="7"/>
      <c r="S443" s="7"/>
      <c r="T443" s="7"/>
      <c r="U443" s="7"/>
      <c r="V443" s="7"/>
      <c r="W443" s="7"/>
    </row>
    <row r="444" spans="1:23" x14ac:dyDescent="0.25">
      <c r="A444" s="7"/>
      <c r="B444" s="7"/>
      <c r="C444" s="7"/>
      <c r="D444" s="7"/>
      <c r="E444" s="7"/>
      <c r="F444" s="7"/>
      <c r="G444" s="7"/>
      <c r="H444" s="7"/>
      <c r="I444" s="7"/>
      <c r="J444" s="7"/>
      <c r="K444" s="7"/>
      <c r="L444" s="7"/>
      <c r="M444" s="7"/>
      <c r="N444" s="7"/>
      <c r="O444" s="7"/>
      <c r="P444" s="7"/>
      <c r="Q444" s="7"/>
      <c r="R444" s="7"/>
      <c r="S444" s="7"/>
      <c r="T444" s="7"/>
      <c r="U444" s="7"/>
      <c r="V444" s="7"/>
      <c r="W444" s="7"/>
    </row>
    <row r="445" spans="1:23" x14ac:dyDescent="0.25">
      <c r="A445" s="7"/>
      <c r="B445" s="7"/>
      <c r="C445" s="7"/>
      <c r="D445" s="7"/>
      <c r="E445" s="7"/>
      <c r="F445" s="7"/>
      <c r="G445" s="7"/>
      <c r="H445" s="7"/>
      <c r="I445" s="7"/>
      <c r="J445" s="7"/>
      <c r="K445" s="7"/>
      <c r="L445" s="7"/>
      <c r="M445" s="7"/>
      <c r="N445" s="7"/>
      <c r="O445" s="7"/>
      <c r="P445" s="7"/>
      <c r="Q445" s="7"/>
      <c r="R445" s="7"/>
      <c r="S445" s="7"/>
      <c r="T445" s="7"/>
      <c r="U445" s="7"/>
      <c r="V445" s="7"/>
      <c r="W445" s="7"/>
    </row>
    <row r="446" spans="1:23" x14ac:dyDescent="0.25">
      <c r="A446" s="7"/>
      <c r="B446" s="7"/>
      <c r="C446" s="7"/>
      <c r="D446" s="7"/>
      <c r="E446" s="7"/>
      <c r="F446" s="7"/>
      <c r="G446" s="7"/>
      <c r="H446" s="7"/>
      <c r="I446" s="7"/>
      <c r="J446" s="7"/>
      <c r="K446" s="7"/>
      <c r="L446" s="7"/>
      <c r="M446" s="7"/>
      <c r="N446" s="7"/>
      <c r="O446" s="7"/>
      <c r="P446" s="7"/>
      <c r="Q446" s="7"/>
      <c r="R446" s="7"/>
      <c r="S446" s="7"/>
      <c r="T446" s="7"/>
      <c r="U446" s="7"/>
      <c r="V446" s="7"/>
      <c r="W446" s="7"/>
    </row>
    <row r="447" spans="1:23" x14ac:dyDescent="0.25">
      <c r="A447" s="7"/>
      <c r="B447" s="7"/>
      <c r="C447" s="7"/>
      <c r="D447" s="7"/>
      <c r="E447" s="7"/>
      <c r="F447" s="7"/>
      <c r="G447" s="7"/>
      <c r="H447" s="7"/>
      <c r="I447" s="7"/>
      <c r="J447" s="7"/>
      <c r="K447" s="7"/>
      <c r="L447" s="7"/>
      <c r="M447" s="7"/>
      <c r="N447" s="7"/>
      <c r="O447" s="7"/>
      <c r="P447" s="7"/>
      <c r="Q447" s="7"/>
      <c r="R447" s="7"/>
      <c r="S447" s="7"/>
      <c r="T447" s="7"/>
      <c r="U447" s="7"/>
      <c r="V447" s="7"/>
      <c r="W447" s="7"/>
    </row>
    <row r="448" spans="1:23" x14ac:dyDescent="0.25">
      <c r="A448" s="7"/>
      <c r="B448" s="7"/>
      <c r="C448" s="7"/>
      <c r="D448" s="7"/>
      <c r="E448" s="7"/>
      <c r="F448" s="7"/>
      <c r="G448" s="7"/>
      <c r="H448" s="7"/>
      <c r="I448" s="7"/>
      <c r="J448" s="7"/>
      <c r="K448" s="7"/>
      <c r="L448" s="7"/>
      <c r="M448" s="7"/>
      <c r="N448" s="7"/>
      <c r="O448" s="7"/>
      <c r="P448" s="7"/>
      <c r="Q448" s="7"/>
      <c r="R448" s="7"/>
      <c r="S448" s="7"/>
      <c r="T448" s="7"/>
      <c r="U448" s="7"/>
      <c r="V448" s="7"/>
      <c r="W448" s="7"/>
    </row>
    <row r="449" spans="1:23" x14ac:dyDescent="0.25">
      <c r="A449" s="7"/>
      <c r="B449" s="7"/>
      <c r="C449" s="7"/>
      <c r="D449" s="7"/>
      <c r="E449" s="7"/>
      <c r="F449" s="7"/>
      <c r="G449" s="7"/>
      <c r="H449" s="7"/>
      <c r="I449" s="7"/>
      <c r="J449" s="7"/>
      <c r="K449" s="7"/>
      <c r="L449" s="7"/>
      <c r="M449" s="7"/>
      <c r="N449" s="7"/>
      <c r="O449" s="7"/>
      <c r="P449" s="7"/>
      <c r="Q449" s="7"/>
      <c r="R449" s="7"/>
      <c r="S449" s="7"/>
      <c r="T449" s="7"/>
      <c r="U449" s="7"/>
      <c r="V449" s="7"/>
      <c r="W449" s="7"/>
    </row>
    <row r="450" spans="1:23" x14ac:dyDescent="0.25">
      <c r="A450" s="7"/>
      <c r="B450" s="7"/>
      <c r="C450" s="7"/>
      <c r="D450" s="7"/>
      <c r="E450" s="7"/>
      <c r="F450" s="7"/>
      <c r="G450" s="7"/>
      <c r="H450" s="7"/>
      <c r="I450" s="7"/>
      <c r="J450" s="7"/>
      <c r="K450" s="7"/>
      <c r="L450" s="7"/>
      <c r="M450" s="7"/>
      <c r="N450" s="7"/>
      <c r="O450" s="7"/>
      <c r="P450" s="7"/>
      <c r="Q450" s="7"/>
      <c r="R450" s="7"/>
      <c r="S450" s="7"/>
      <c r="T450" s="7"/>
      <c r="U450" s="7"/>
      <c r="V450" s="7"/>
      <c r="W450" s="7"/>
    </row>
    <row r="451" spans="1:23" x14ac:dyDescent="0.25">
      <c r="A451" s="7"/>
      <c r="B451" s="7"/>
      <c r="C451" s="7"/>
      <c r="D451" s="7"/>
      <c r="E451" s="7"/>
      <c r="F451" s="7"/>
      <c r="G451" s="7"/>
      <c r="H451" s="7"/>
      <c r="I451" s="7"/>
      <c r="J451" s="7"/>
      <c r="K451" s="7"/>
      <c r="L451" s="7"/>
      <c r="M451" s="7"/>
      <c r="N451" s="7"/>
      <c r="O451" s="7"/>
      <c r="P451" s="7"/>
      <c r="Q451" s="7"/>
      <c r="R451" s="7"/>
      <c r="S451" s="7"/>
      <c r="T451" s="7"/>
      <c r="U451" s="7"/>
      <c r="V451" s="7"/>
      <c r="W451" s="7"/>
    </row>
    <row r="452" spans="1:23" x14ac:dyDescent="0.25">
      <c r="A452" s="7"/>
      <c r="B452" s="7"/>
      <c r="C452" s="7"/>
      <c r="D452" s="7"/>
      <c r="E452" s="7"/>
      <c r="F452" s="7"/>
      <c r="G452" s="7"/>
      <c r="H452" s="7"/>
      <c r="I452" s="7"/>
      <c r="J452" s="7"/>
      <c r="K452" s="7"/>
      <c r="L452" s="7"/>
      <c r="M452" s="7"/>
      <c r="N452" s="7"/>
      <c r="O452" s="7"/>
      <c r="P452" s="7"/>
      <c r="Q452" s="7"/>
      <c r="R452" s="7"/>
      <c r="S452" s="7"/>
      <c r="T452" s="7"/>
      <c r="U452" s="7"/>
      <c r="V452" s="7"/>
      <c r="W452" s="7"/>
    </row>
    <row r="453" spans="1:23" x14ac:dyDescent="0.25">
      <c r="A453" s="7"/>
      <c r="B453" s="7"/>
      <c r="C453" s="7"/>
      <c r="D453" s="7"/>
      <c r="E453" s="7"/>
      <c r="F453" s="7"/>
      <c r="G453" s="7"/>
      <c r="H453" s="7"/>
      <c r="I453" s="7"/>
      <c r="J453" s="7"/>
      <c r="K453" s="7"/>
      <c r="L453" s="7"/>
      <c r="M453" s="7"/>
      <c r="N453" s="7"/>
      <c r="O453" s="7"/>
      <c r="P453" s="7"/>
      <c r="Q453" s="7"/>
      <c r="R453" s="7"/>
      <c r="S453" s="7"/>
      <c r="T453" s="7"/>
      <c r="U453" s="7"/>
      <c r="V453" s="7"/>
      <c r="W453" s="7"/>
    </row>
    <row r="454" spans="1:23" x14ac:dyDescent="0.25">
      <c r="A454" s="7"/>
      <c r="B454" s="7"/>
      <c r="C454" s="7"/>
      <c r="D454" s="7"/>
      <c r="E454" s="7"/>
      <c r="F454" s="7"/>
      <c r="G454" s="7"/>
      <c r="H454" s="7"/>
      <c r="I454" s="7"/>
      <c r="J454" s="7"/>
      <c r="K454" s="7"/>
      <c r="L454" s="7"/>
      <c r="M454" s="7"/>
      <c r="N454" s="7"/>
      <c r="O454" s="7"/>
      <c r="P454" s="7"/>
      <c r="Q454" s="7"/>
      <c r="R454" s="7"/>
      <c r="S454" s="7"/>
      <c r="T454" s="7"/>
      <c r="U454" s="7"/>
      <c r="V454" s="7"/>
      <c r="W454" s="7"/>
    </row>
    <row r="455" spans="1:23" x14ac:dyDescent="0.25">
      <c r="A455" s="7"/>
      <c r="B455" s="7"/>
      <c r="C455" s="7"/>
      <c r="D455" s="7"/>
      <c r="E455" s="7"/>
      <c r="F455" s="7"/>
      <c r="G455" s="7"/>
      <c r="H455" s="7"/>
      <c r="I455" s="7"/>
      <c r="J455" s="7"/>
      <c r="K455" s="7"/>
      <c r="L455" s="7"/>
      <c r="M455" s="7"/>
      <c r="N455" s="7"/>
      <c r="O455" s="7"/>
      <c r="P455" s="7"/>
      <c r="Q455" s="7"/>
      <c r="R455" s="7"/>
      <c r="S455" s="7"/>
      <c r="T455" s="7"/>
      <c r="U455" s="7"/>
      <c r="V455" s="7"/>
      <c r="W455" s="7"/>
    </row>
    <row r="456" spans="1:23" x14ac:dyDescent="0.25">
      <c r="A456" s="7"/>
      <c r="B456" s="7"/>
      <c r="C456" s="7"/>
      <c r="D456" s="7"/>
      <c r="E456" s="7"/>
      <c r="F456" s="7"/>
      <c r="G456" s="7"/>
      <c r="H456" s="7"/>
      <c r="I456" s="7"/>
      <c r="J456" s="7"/>
      <c r="K456" s="7"/>
      <c r="L456" s="7"/>
      <c r="M456" s="7"/>
      <c r="N456" s="7"/>
      <c r="O456" s="7"/>
      <c r="P456" s="7"/>
      <c r="Q456" s="7"/>
      <c r="R456" s="7"/>
      <c r="S456" s="7"/>
      <c r="T456" s="7"/>
      <c r="U456" s="7"/>
      <c r="V456" s="7"/>
      <c r="W456" s="7"/>
    </row>
    <row r="457" spans="1:23" x14ac:dyDescent="0.25">
      <c r="A457" s="7"/>
      <c r="B457" s="7"/>
      <c r="C457" s="7"/>
      <c r="D457" s="7"/>
      <c r="E457" s="7"/>
      <c r="F457" s="7"/>
      <c r="G457" s="7"/>
      <c r="H457" s="7"/>
      <c r="I457" s="7"/>
      <c r="J457" s="7"/>
      <c r="K457" s="7"/>
      <c r="L457" s="7"/>
      <c r="M457" s="7"/>
      <c r="N457" s="7"/>
      <c r="O457" s="7"/>
      <c r="P457" s="7"/>
      <c r="Q457" s="7"/>
      <c r="R457" s="7"/>
      <c r="S457" s="7"/>
      <c r="T457" s="7"/>
      <c r="U457" s="7"/>
      <c r="V457" s="7"/>
      <c r="W457" s="7"/>
    </row>
    <row r="458" spans="1:23" x14ac:dyDescent="0.25">
      <c r="A458" s="7"/>
      <c r="B458" s="7"/>
      <c r="C458" s="7"/>
      <c r="D458" s="7"/>
      <c r="E458" s="7"/>
      <c r="F458" s="7"/>
      <c r="G458" s="7"/>
      <c r="H458" s="7"/>
      <c r="I458" s="7"/>
      <c r="J458" s="7"/>
      <c r="K458" s="7"/>
      <c r="L458" s="7"/>
      <c r="M458" s="7"/>
      <c r="N458" s="7"/>
      <c r="O458" s="7"/>
      <c r="P458" s="7"/>
      <c r="Q458" s="7"/>
      <c r="R458" s="7"/>
      <c r="S458" s="7"/>
      <c r="T458" s="7"/>
      <c r="U458" s="7"/>
      <c r="V458" s="7"/>
      <c r="W458" s="7"/>
    </row>
    <row r="459" spans="1:23" x14ac:dyDescent="0.25">
      <c r="A459" s="7"/>
      <c r="B459" s="7"/>
      <c r="C459" s="7"/>
      <c r="D459" s="7"/>
      <c r="E459" s="7"/>
      <c r="F459" s="7"/>
      <c r="G459" s="7"/>
      <c r="H459" s="7"/>
      <c r="I459" s="7"/>
      <c r="J459" s="7"/>
      <c r="K459" s="7"/>
      <c r="L459" s="7"/>
      <c r="M459" s="7"/>
      <c r="N459" s="7"/>
      <c r="O459" s="7"/>
      <c r="P459" s="7"/>
      <c r="Q459" s="7"/>
      <c r="R459" s="7"/>
      <c r="S459" s="7"/>
      <c r="T459" s="7"/>
      <c r="U459" s="7"/>
      <c r="V459" s="7"/>
      <c r="W459" s="7"/>
    </row>
    <row r="460" spans="1:23" x14ac:dyDescent="0.25">
      <c r="A460" s="7"/>
      <c r="B460" s="7"/>
      <c r="C460" s="7"/>
      <c r="D460" s="7"/>
      <c r="E460" s="7"/>
      <c r="F460" s="7"/>
      <c r="G460" s="7"/>
      <c r="H460" s="7"/>
      <c r="I460" s="7"/>
      <c r="J460" s="7"/>
      <c r="K460" s="7"/>
      <c r="L460" s="7"/>
      <c r="M460" s="7"/>
      <c r="N460" s="7"/>
      <c r="O460" s="7"/>
      <c r="P460" s="7"/>
      <c r="Q460" s="7"/>
      <c r="R460" s="7"/>
      <c r="S460" s="7"/>
      <c r="T460" s="7"/>
      <c r="U460" s="7"/>
      <c r="V460" s="7"/>
      <c r="W460" s="7"/>
    </row>
    <row r="461" spans="1:23" x14ac:dyDescent="0.25">
      <c r="A461" s="7"/>
      <c r="B461" s="7"/>
      <c r="C461" s="7"/>
      <c r="D461" s="7"/>
      <c r="E461" s="7"/>
      <c r="F461" s="7"/>
      <c r="G461" s="7"/>
      <c r="H461" s="7"/>
      <c r="I461" s="7"/>
      <c r="J461" s="7"/>
      <c r="K461" s="7"/>
      <c r="L461" s="7"/>
      <c r="M461" s="7"/>
      <c r="N461" s="7"/>
      <c r="O461" s="7"/>
      <c r="P461" s="7"/>
      <c r="Q461" s="7"/>
      <c r="R461" s="7"/>
      <c r="S461" s="7"/>
      <c r="T461" s="7"/>
      <c r="U461" s="7"/>
      <c r="V461" s="7"/>
      <c r="W461" s="7"/>
    </row>
    <row r="462" spans="1:23" x14ac:dyDescent="0.25">
      <c r="A462" s="7"/>
      <c r="B462" s="7"/>
      <c r="C462" s="7"/>
      <c r="D462" s="7"/>
      <c r="E462" s="7"/>
      <c r="F462" s="7"/>
      <c r="G462" s="7"/>
      <c r="H462" s="7"/>
      <c r="I462" s="7"/>
      <c r="J462" s="7"/>
      <c r="K462" s="7"/>
      <c r="L462" s="7"/>
      <c r="M462" s="7"/>
      <c r="N462" s="7"/>
      <c r="O462" s="7"/>
      <c r="P462" s="7"/>
      <c r="Q462" s="7"/>
      <c r="R462" s="7"/>
      <c r="S462" s="7"/>
      <c r="T462" s="7"/>
      <c r="U462" s="7"/>
      <c r="V462" s="7"/>
      <c r="W462" s="7"/>
    </row>
  </sheetData>
  <sheetProtection algorithmName="SHA-512" hashValue="pCExX6O7BS4ms69oI/hEHi200rKSgvOg/5/vgTQ5qxPUh2tFfYRVpe8v889yQpNUmuTl10iTqqx5GXp4rKfh2Q==" saltValue="9OjRshMoA3cxVUhd0RgejA==" spinCount="100000" sheet="1" formatCells="0" formatColumns="0" formatRows="0"/>
  <mergeCells count="382">
    <mergeCell ref="M155:P155"/>
    <mergeCell ref="M156:P156"/>
    <mergeCell ref="M157:P157"/>
    <mergeCell ref="M158:P158"/>
    <mergeCell ref="M159:P159"/>
    <mergeCell ref="M160:P160"/>
    <mergeCell ref="M161:P161"/>
    <mergeCell ref="B49:C49"/>
    <mergeCell ref="D49:G49"/>
    <mergeCell ref="B101:C101"/>
    <mergeCell ref="D101:G101"/>
    <mergeCell ref="H54:J54"/>
    <mergeCell ref="L54:M54"/>
    <mergeCell ref="H57:J57"/>
    <mergeCell ref="L57:O57"/>
    <mergeCell ref="H58:J58"/>
    <mergeCell ref="H59:J59"/>
    <mergeCell ref="H55:J55"/>
    <mergeCell ref="L55:M55"/>
    <mergeCell ref="H56:J56"/>
    <mergeCell ref="L56:M56"/>
    <mergeCell ref="H63:J63"/>
    <mergeCell ref="H64:J64"/>
    <mergeCell ref="L64:M64"/>
    <mergeCell ref="S148:V150"/>
    <mergeCell ref="S151:V151"/>
    <mergeCell ref="S152:V152"/>
    <mergeCell ref="S153:V153"/>
    <mergeCell ref="S154:V154"/>
    <mergeCell ref="S155:V155"/>
    <mergeCell ref="S156:V156"/>
    <mergeCell ref="S157:V157"/>
    <mergeCell ref="S158:V158"/>
    <mergeCell ref="Q155:R155"/>
    <mergeCell ref="Q156:R156"/>
    <mergeCell ref="Q157:R157"/>
    <mergeCell ref="Q158:R158"/>
    <mergeCell ref="Q159:R159"/>
    <mergeCell ref="A19:B19"/>
    <mergeCell ref="E19:F19"/>
    <mergeCell ref="L19:O19"/>
    <mergeCell ref="O62:O63"/>
    <mergeCell ref="E25:F25"/>
    <mergeCell ref="L25:O25"/>
    <mergeCell ref="A22:B22"/>
    <mergeCell ref="A33:B33"/>
    <mergeCell ref="E20:F20"/>
    <mergeCell ref="L20:O20"/>
    <mergeCell ref="A21:B21"/>
    <mergeCell ref="E21:F21"/>
    <mergeCell ref="E22:F22"/>
    <mergeCell ref="L22:O22"/>
    <mergeCell ref="A23:B23"/>
    <mergeCell ref="A26:B26"/>
    <mergeCell ref="M148:P150"/>
    <mergeCell ref="M151:P151"/>
    <mergeCell ref="M152:P152"/>
    <mergeCell ref="S62:V63"/>
    <mergeCell ref="S64:V64"/>
    <mergeCell ref="Q62:R63"/>
    <mergeCell ref="P62:P63"/>
    <mergeCell ref="Q64:R64"/>
    <mergeCell ref="R30:V30"/>
    <mergeCell ref="R31:V31"/>
    <mergeCell ref="R32:V32"/>
    <mergeCell ref="R33:V33"/>
    <mergeCell ref="R34:V34"/>
    <mergeCell ref="R35:V35"/>
    <mergeCell ref="R36:V36"/>
    <mergeCell ref="R37:V37"/>
    <mergeCell ref="R38:V38"/>
    <mergeCell ref="S53:V53"/>
    <mergeCell ref="R39:V39"/>
    <mergeCell ref="R40:V40"/>
    <mergeCell ref="S54:V54"/>
    <mergeCell ref="S52:V52"/>
    <mergeCell ref="S57:V57"/>
    <mergeCell ref="S55:V55"/>
    <mergeCell ref="S56:V56"/>
    <mergeCell ref="Q41:V45"/>
    <mergeCell ref="P1:V1"/>
    <mergeCell ref="A4:D5"/>
    <mergeCell ref="E4:F5"/>
    <mergeCell ref="G4:J5"/>
    <mergeCell ref="I7:L7"/>
    <mergeCell ref="Q7:S7"/>
    <mergeCell ref="E17:F17"/>
    <mergeCell ref="L17:O17"/>
    <mergeCell ref="A18:B18"/>
    <mergeCell ref="E18:F18"/>
    <mergeCell ref="L18:O18"/>
    <mergeCell ref="A8:H12"/>
    <mergeCell ref="I8:O12"/>
    <mergeCell ref="A15:B15"/>
    <mergeCell ref="E16:F16"/>
    <mergeCell ref="L16:O16"/>
    <mergeCell ref="A17:B17"/>
    <mergeCell ref="E15:F15"/>
    <mergeCell ref="L15:O15"/>
    <mergeCell ref="A16:B16"/>
    <mergeCell ref="Q8:V26"/>
    <mergeCell ref="E23:F23"/>
    <mergeCell ref="L23:O23"/>
    <mergeCell ref="A20:B20"/>
    <mergeCell ref="E26:F26"/>
    <mergeCell ref="L26:O26"/>
    <mergeCell ref="L21:O21"/>
    <mergeCell ref="A31:B31"/>
    <mergeCell ref="A32:B32"/>
    <mergeCell ref="A30:B30"/>
    <mergeCell ref="A24:B24"/>
    <mergeCell ref="E24:F24"/>
    <mergeCell ref="L24:O24"/>
    <mergeCell ref="A25:B25"/>
    <mergeCell ref="A27:C28"/>
    <mergeCell ref="A37:B37"/>
    <mergeCell ref="E27:O28"/>
    <mergeCell ref="A38:B38"/>
    <mergeCell ref="A39:B39"/>
    <mergeCell ref="A34:B34"/>
    <mergeCell ref="A35:B35"/>
    <mergeCell ref="A36:B36"/>
    <mergeCell ref="H53:J53"/>
    <mergeCell ref="L53:M53"/>
    <mergeCell ref="A40:B40"/>
    <mergeCell ref="L51:M51"/>
    <mergeCell ref="H52:J52"/>
    <mergeCell ref="L52:M52"/>
    <mergeCell ref="A41:D42"/>
    <mergeCell ref="F41:O42"/>
    <mergeCell ref="H60:J60"/>
    <mergeCell ref="H61:J61"/>
    <mergeCell ref="L61:N61"/>
    <mergeCell ref="H62:J62"/>
    <mergeCell ref="L62:M63"/>
    <mergeCell ref="N62:N63"/>
    <mergeCell ref="A68:D68"/>
    <mergeCell ref="E68:F68"/>
    <mergeCell ref="H68:J68"/>
    <mergeCell ref="A65:F65"/>
    <mergeCell ref="H65:J65"/>
    <mergeCell ref="L65:M65"/>
    <mergeCell ref="L68:T69"/>
    <mergeCell ref="A66:F66"/>
    <mergeCell ref="H66:J66"/>
    <mergeCell ref="S65:V65"/>
    <mergeCell ref="S66:V66"/>
    <mergeCell ref="Q65:R65"/>
    <mergeCell ref="Q66:R66"/>
    <mergeCell ref="L67:P67"/>
    <mergeCell ref="Q67:R67"/>
    <mergeCell ref="S67:V67"/>
    <mergeCell ref="L66:M66"/>
    <mergeCell ref="C69:J70"/>
    <mergeCell ref="A67:F67"/>
    <mergeCell ref="H67:J67"/>
    <mergeCell ref="A75:B75"/>
    <mergeCell ref="A76:B76"/>
    <mergeCell ref="A73:B73"/>
    <mergeCell ref="A74:B74"/>
    <mergeCell ref="S73:V73"/>
    <mergeCell ref="S74:V74"/>
    <mergeCell ref="S75:V75"/>
    <mergeCell ref="S76:V76"/>
    <mergeCell ref="A79:B79"/>
    <mergeCell ref="A80:B80"/>
    <mergeCell ref="A77:B77"/>
    <mergeCell ref="A78:B78"/>
    <mergeCell ref="S77:V77"/>
    <mergeCell ref="S78:V78"/>
    <mergeCell ref="S79:V79"/>
    <mergeCell ref="S80:V80"/>
    <mergeCell ref="A83:B83"/>
    <mergeCell ref="A84:B84"/>
    <mergeCell ref="A81:B81"/>
    <mergeCell ref="A82:B82"/>
    <mergeCell ref="S81:V81"/>
    <mergeCell ref="S82:V82"/>
    <mergeCell ref="S83:V83"/>
    <mergeCell ref="S84:V84"/>
    <mergeCell ref="A87:B87"/>
    <mergeCell ref="A88:B88"/>
    <mergeCell ref="A85:B85"/>
    <mergeCell ref="A86:B86"/>
    <mergeCell ref="S85:V85"/>
    <mergeCell ref="S86:V86"/>
    <mergeCell ref="S87:V87"/>
    <mergeCell ref="S88:V88"/>
    <mergeCell ref="A91:B91"/>
    <mergeCell ref="F92:J94"/>
    <mergeCell ref="A104:B104"/>
    <mergeCell ref="A89:B89"/>
    <mergeCell ref="A90:B90"/>
    <mergeCell ref="A92:B94"/>
    <mergeCell ref="S89:V89"/>
    <mergeCell ref="S90:V90"/>
    <mergeCell ref="S91:V91"/>
    <mergeCell ref="P104:V104"/>
    <mergeCell ref="L92:S94"/>
    <mergeCell ref="A107:B107"/>
    <mergeCell ref="A108:B108"/>
    <mergeCell ref="A105:B105"/>
    <mergeCell ref="A106:B106"/>
    <mergeCell ref="P105:V105"/>
    <mergeCell ref="P106:V106"/>
    <mergeCell ref="P107:V107"/>
    <mergeCell ref="P108:V108"/>
    <mergeCell ref="A111:B111"/>
    <mergeCell ref="A112:B112"/>
    <mergeCell ref="A109:B109"/>
    <mergeCell ref="A110:B110"/>
    <mergeCell ref="P109:V109"/>
    <mergeCell ref="P110:V110"/>
    <mergeCell ref="P111:V111"/>
    <mergeCell ref="P112:V112"/>
    <mergeCell ref="A115:B115"/>
    <mergeCell ref="A116:B116"/>
    <mergeCell ref="A113:B113"/>
    <mergeCell ref="A114:B114"/>
    <mergeCell ref="P113:V113"/>
    <mergeCell ref="P114:V114"/>
    <mergeCell ref="P115:V115"/>
    <mergeCell ref="P116:V116"/>
    <mergeCell ref="A117:F118"/>
    <mergeCell ref="H117:S118"/>
    <mergeCell ref="A124:B124"/>
    <mergeCell ref="F124:I124"/>
    <mergeCell ref="J124:M124"/>
    <mergeCell ref="N124:R124"/>
    <mergeCell ref="S124:V124"/>
    <mergeCell ref="A125:B125"/>
    <mergeCell ref="F125:I125"/>
    <mergeCell ref="J125:M125"/>
    <mergeCell ref="N125:R125"/>
    <mergeCell ref="S125:V125"/>
    <mergeCell ref="S122:V122"/>
    <mergeCell ref="A123:B123"/>
    <mergeCell ref="F123:I123"/>
    <mergeCell ref="J123:M123"/>
    <mergeCell ref="N123:R123"/>
    <mergeCell ref="S123:V123"/>
    <mergeCell ref="A122:B122"/>
    <mergeCell ref="F122:I122"/>
    <mergeCell ref="J122:M122"/>
    <mergeCell ref="N122:R122"/>
    <mergeCell ref="A126:B126"/>
    <mergeCell ref="F126:I126"/>
    <mergeCell ref="J126:M126"/>
    <mergeCell ref="N126:R126"/>
    <mergeCell ref="S126:V126"/>
    <mergeCell ref="A127:B127"/>
    <mergeCell ref="F127:I127"/>
    <mergeCell ref="J127:M127"/>
    <mergeCell ref="N127:R127"/>
    <mergeCell ref="S127:V127"/>
    <mergeCell ref="A128:B128"/>
    <mergeCell ref="F128:I128"/>
    <mergeCell ref="J128:M128"/>
    <mergeCell ref="N128:R128"/>
    <mergeCell ref="S128:V128"/>
    <mergeCell ref="A129:B129"/>
    <mergeCell ref="F129:I129"/>
    <mergeCell ref="J129:M129"/>
    <mergeCell ref="N129:R129"/>
    <mergeCell ref="S129:V129"/>
    <mergeCell ref="A130:B130"/>
    <mergeCell ref="F130:I130"/>
    <mergeCell ref="J130:M130"/>
    <mergeCell ref="N130:R130"/>
    <mergeCell ref="S130:V130"/>
    <mergeCell ref="A131:B131"/>
    <mergeCell ref="F131:I131"/>
    <mergeCell ref="J131:M131"/>
    <mergeCell ref="N131:R131"/>
    <mergeCell ref="S131:V131"/>
    <mergeCell ref="N134:R134"/>
    <mergeCell ref="S134:V134"/>
    <mergeCell ref="A132:B132"/>
    <mergeCell ref="F132:I132"/>
    <mergeCell ref="J132:M132"/>
    <mergeCell ref="N132:R132"/>
    <mergeCell ref="S132:V132"/>
    <mergeCell ref="A133:B133"/>
    <mergeCell ref="F133:I133"/>
    <mergeCell ref="J133:M133"/>
    <mergeCell ref="N133:R133"/>
    <mergeCell ref="S133:V133"/>
    <mergeCell ref="B143:C143"/>
    <mergeCell ref="D143:G143"/>
    <mergeCell ref="A148:D148"/>
    <mergeCell ref="G148:K148"/>
    <mergeCell ref="A135:D136"/>
    <mergeCell ref="F135:M135"/>
    <mergeCell ref="A134:B134"/>
    <mergeCell ref="F134:I134"/>
    <mergeCell ref="J134:M134"/>
    <mergeCell ref="Q148:R150"/>
    <mergeCell ref="A153:D153"/>
    <mergeCell ref="G153:K153"/>
    <mergeCell ref="A154:D154"/>
    <mergeCell ref="G154:K154"/>
    <mergeCell ref="A151:C151"/>
    <mergeCell ref="G151:K151"/>
    <mergeCell ref="A152:D152"/>
    <mergeCell ref="G152:K152"/>
    <mergeCell ref="Q152:R152"/>
    <mergeCell ref="Q153:R153"/>
    <mergeCell ref="Q154:R154"/>
    <mergeCell ref="Q151:R151"/>
    <mergeCell ref="M153:P153"/>
    <mergeCell ref="M154:P154"/>
    <mergeCell ref="A149:D149"/>
    <mergeCell ref="G149:K149"/>
    <mergeCell ref="A150:C150"/>
    <mergeCell ref="G150:K150"/>
    <mergeCell ref="A157:D157"/>
    <mergeCell ref="G157:K157"/>
    <mergeCell ref="A158:D158"/>
    <mergeCell ref="G158:K158"/>
    <mergeCell ref="A155:D155"/>
    <mergeCell ref="G155:K155"/>
    <mergeCell ref="A156:D156"/>
    <mergeCell ref="G156:K156"/>
    <mergeCell ref="A162:C162"/>
    <mergeCell ref="G162:K162"/>
    <mergeCell ref="A163:C163"/>
    <mergeCell ref="G159:K159"/>
    <mergeCell ref="A160:D160"/>
    <mergeCell ref="G160:K160"/>
    <mergeCell ref="A161:C161"/>
    <mergeCell ref="G161:K161"/>
    <mergeCell ref="G169:K169"/>
    <mergeCell ref="P169:S169"/>
    <mergeCell ref="M164:P164"/>
    <mergeCell ref="S159:V159"/>
    <mergeCell ref="S160:V160"/>
    <mergeCell ref="S161:V161"/>
    <mergeCell ref="S162:V162"/>
    <mergeCell ref="S163:V163"/>
    <mergeCell ref="S164:V164"/>
    <mergeCell ref="Q160:R160"/>
    <mergeCell ref="Q161:R161"/>
    <mergeCell ref="Q162:R162"/>
    <mergeCell ref="Q163:R163"/>
    <mergeCell ref="M162:P162"/>
    <mergeCell ref="M163:P163"/>
    <mergeCell ref="T174:V174"/>
    <mergeCell ref="T173:V173"/>
    <mergeCell ref="T172:V172"/>
    <mergeCell ref="T171:V171"/>
    <mergeCell ref="A170:C170"/>
    <mergeCell ref="G170:K170"/>
    <mergeCell ref="P170:S170"/>
    <mergeCell ref="A164:F164"/>
    <mergeCell ref="M167:O170"/>
    <mergeCell ref="P167:S167"/>
    <mergeCell ref="A168:D168"/>
    <mergeCell ref="G168:K168"/>
    <mergeCell ref="P168:S168"/>
    <mergeCell ref="A169:C169"/>
    <mergeCell ref="Q164:R164"/>
    <mergeCell ref="T170:V170"/>
    <mergeCell ref="T169:V169"/>
    <mergeCell ref="T168:V168"/>
    <mergeCell ref="T167:V167"/>
    <mergeCell ref="A165:E165"/>
    <mergeCell ref="A177:D177"/>
    <mergeCell ref="A171:C171"/>
    <mergeCell ref="G171:K171"/>
    <mergeCell ref="M171:O174"/>
    <mergeCell ref="P171:S171"/>
    <mergeCell ref="A172:C172"/>
    <mergeCell ref="G172:K172"/>
    <mergeCell ref="P172:S172"/>
    <mergeCell ref="A173:D173"/>
    <mergeCell ref="A175:C175"/>
    <mergeCell ref="A176:H176"/>
    <mergeCell ref="G173:K173"/>
    <mergeCell ref="P173:S173"/>
    <mergeCell ref="A174:D174"/>
    <mergeCell ref="G174:K174"/>
    <mergeCell ref="P174:S174"/>
  </mergeCells>
  <conditionalFormatting sqref="K74:K91">
    <cfRule type="expression" dxfId="46" priority="94">
      <formula>IF(RIGHT(N74,6)="(gptm)",1,0)</formula>
    </cfRule>
  </conditionalFormatting>
  <conditionalFormatting sqref="H105:H116">
    <cfRule type="expression" dxfId="45" priority="4">
      <formula>IF(RIGHT(K105,6)="(gptm)",1,0)</formula>
    </cfRule>
  </conditionalFormatting>
  <conditionalFormatting sqref="O31:O38">
    <cfRule type="expression" dxfId="44" priority="78">
      <formula>$L$32="Electricity"</formula>
    </cfRule>
  </conditionalFormatting>
  <conditionalFormatting sqref="N39">
    <cfRule type="expression" dxfId="43" priority="71">
      <formula>$L$39="Electricity"</formula>
    </cfRule>
  </conditionalFormatting>
  <conditionalFormatting sqref="N40">
    <cfRule type="expression" dxfId="42" priority="70">
      <formula>$L$40="Electricity"</formula>
    </cfRule>
  </conditionalFormatting>
  <conditionalFormatting sqref="O39">
    <cfRule type="expression" dxfId="41" priority="65">
      <formula>$L$39="Electricity"</formula>
    </cfRule>
  </conditionalFormatting>
  <conditionalFormatting sqref="O40">
    <cfRule type="expression" dxfId="40" priority="64">
      <formula>$L$40="Electricity"</formula>
    </cfRule>
  </conditionalFormatting>
  <conditionalFormatting sqref="Q64:R64">
    <cfRule type="expression" dxfId="39" priority="53">
      <formula>$P$64="Yes"</formula>
    </cfRule>
  </conditionalFormatting>
  <conditionalFormatting sqref="Q64:R66">
    <cfRule type="expression" dxfId="38" priority="51">
      <formula>$P$66="Yes"</formula>
    </cfRule>
    <cfRule type="expression" dxfId="37" priority="52">
      <formula>$P$65="Yes"</formula>
    </cfRule>
  </conditionalFormatting>
  <conditionalFormatting sqref="O39">
    <cfRule type="expression" dxfId="36" priority="50">
      <formula>$L$39="Electricity"</formula>
    </cfRule>
  </conditionalFormatting>
  <conditionalFormatting sqref="O40">
    <cfRule type="expression" dxfId="35" priority="49">
      <formula>$L$40="Electricity"</formula>
    </cfRule>
  </conditionalFormatting>
  <conditionalFormatting sqref="P39">
    <cfRule type="expression" dxfId="34" priority="48">
      <formula>$L$39="Electricity"</formula>
    </cfRule>
  </conditionalFormatting>
  <conditionalFormatting sqref="P40">
    <cfRule type="expression" dxfId="33" priority="47">
      <formula>$L$40="Electricity"</formula>
    </cfRule>
  </conditionalFormatting>
  <conditionalFormatting sqref="P32">
    <cfRule type="expression" dxfId="32" priority="44">
      <formula>$L$32="Electricity"</formula>
    </cfRule>
  </conditionalFormatting>
  <conditionalFormatting sqref="P33">
    <cfRule type="expression" dxfId="31" priority="43">
      <formula>$L$33="Electricity"</formula>
    </cfRule>
  </conditionalFormatting>
  <conditionalFormatting sqref="P34">
    <cfRule type="expression" dxfId="30" priority="42">
      <formula>$L$34="Electricity"</formula>
    </cfRule>
  </conditionalFormatting>
  <conditionalFormatting sqref="P35">
    <cfRule type="expression" dxfId="29" priority="41">
      <formula>$L$35="Electricity"</formula>
    </cfRule>
  </conditionalFormatting>
  <conditionalFormatting sqref="P36">
    <cfRule type="expression" dxfId="28" priority="40">
      <formula>$L$36="Electricity"</formula>
    </cfRule>
  </conditionalFormatting>
  <conditionalFormatting sqref="P37">
    <cfRule type="expression" dxfId="27" priority="39">
      <formula>$L$37="Electricity"</formula>
    </cfRule>
  </conditionalFormatting>
  <conditionalFormatting sqref="P38">
    <cfRule type="expression" dxfId="26" priority="38">
      <formula>$L$38="Electricity"</formula>
    </cfRule>
  </conditionalFormatting>
  <conditionalFormatting sqref="O39">
    <cfRule type="expression" dxfId="25" priority="37">
      <formula>$L$39="Electricity"</formula>
    </cfRule>
  </conditionalFormatting>
  <conditionalFormatting sqref="O40">
    <cfRule type="expression" dxfId="24" priority="36">
      <formula>$L$40="Electricity"</formula>
    </cfRule>
  </conditionalFormatting>
  <conditionalFormatting sqref="P39">
    <cfRule type="expression" dxfId="23" priority="33">
      <formula>$L$39="Electricity"</formula>
    </cfRule>
  </conditionalFormatting>
  <conditionalFormatting sqref="P40">
    <cfRule type="expression" dxfId="22" priority="32">
      <formula>$L$40="Electricity"</formula>
    </cfRule>
  </conditionalFormatting>
  <conditionalFormatting sqref="P39">
    <cfRule type="expression" dxfId="21" priority="31">
      <formula>$L$39="Electricity"</formula>
    </cfRule>
  </conditionalFormatting>
  <conditionalFormatting sqref="P40">
    <cfRule type="expression" dxfId="20" priority="30">
      <formula>$L$40="Electricity"</formula>
    </cfRule>
  </conditionalFormatting>
  <conditionalFormatting sqref="M74:M91">
    <cfRule type="cellIs" dxfId="19" priority="22" operator="equal">
      <formula>0</formula>
    </cfRule>
  </conditionalFormatting>
  <conditionalFormatting sqref="J105:J116">
    <cfRule type="cellIs" dxfId="18" priority="20" operator="equal">
      <formula>0</formula>
    </cfRule>
  </conditionalFormatting>
  <conditionalFormatting sqref="J16:J26">
    <cfRule type="expression" dxfId="17" priority="6">
      <formula>IF(LEFT(E16,4)="User",1,0)</formula>
    </cfRule>
  </conditionalFormatting>
  <conditionalFormatting sqref="Q74:Q91">
    <cfRule type="expression" dxfId="16" priority="5">
      <formula>IF(LEFT(N74,4)="User",1,0)</formula>
    </cfRule>
  </conditionalFormatting>
  <conditionalFormatting sqref="N105:N116">
    <cfRule type="expression" dxfId="15" priority="3">
      <formula>IF(LEFT(K105,4)="User",1,0)</formula>
    </cfRule>
  </conditionalFormatting>
  <conditionalFormatting sqref="I25">
    <cfRule type="expression" dxfId="14" priority="2">
      <formula>IF(LEFT(D25,4)="User",1,0)</formula>
    </cfRule>
  </conditionalFormatting>
  <conditionalFormatting sqref="I26">
    <cfRule type="expression" dxfId="13" priority="1">
      <formula>IF(LEFT(D26,4)="User",1,0)</formula>
    </cfRule>
  </conditionalFormatting>
  <dataValidations count="7">
    <dataValidation type="list" allowBlank="1" showInputMessage="1" showErrorMessage="1" sqref="H74:H91 P64:P66 L74:L91 I105:I116" xr:uid="{00000000-0002-0000-0400-000000000000}">
      <formula1>"Yes, No"</formula1>
    </dataValidation>
    <dataValidation type="list" allowBlank="1" showInputMessage="1" showErrorMessage="1" sqref="F74:F91" xr:uid="{00000000-0002-0000-0400-000001000000}">
      <formula1>"Refined, Unrefined"</formula1>
    </dataValidation>
    <dataValidation type="list" allowBlank="1" showInputMessage="1" showErrorMessage="1" sqref="G74:G91" xr:uid="{00000000-0002-0000-0400-000002000000}">
      <formula1>"Virgin, Recycled, Reused"</formula1>
    </dataValidation>
    <dataValidation allowBlank="1" showInputMessage="1" showErrorMessage="1" prompt="Use a value in this cell to override the default fuel usage rate" sqref="N105:N114 Q74:Q91" xr:uid="{00000000-0002-0000-0400-000003000000}"/>
    <dataValidation type="list" allowBlank="1" showInputMessage="1" showErrorMessage="1" sqref="N31:N40 L105:L114 O74:O91" xr:uid="{00000000-0002-0000-0400-000004000000}">
      <formula1>fuel_mt</formula1>
    </dataValidation>
    <dataValidation type="list" allowBlank="1" showInputMessage="1" showErrorMessage="1" sqref="A31:A38" xr:uid="{00000000-0002-0000-0400-000005000000}">
      <formula1>equipment</formula1>
    </dataValidation>
    <dataValidation type="list" allowBlank="1" showInputMessage="1" showErrorMessage="1" promptTitle="Material" prompt="Input type of material" sqref="A74:B91" xr:uid="{00000000-0002-0000-0400-000006000000}">
      <formula1>material</formula1>
    </dataValidation>
  </dataValidations>
  <printOptions horizontalCentered="1"/>
  <pageMargins left="0.7" right="0.7" top="0.4" bottom="0.75" header="0" footer="0.3"/>
  <pageSetup scale="40" fitToHeight="0" orientation="landscape" r:id="rId1"/>
  <headerFooter>
    <oddHeader xml:space="preserve">&amp;RPage &amp;P of &amp;N
</oddHeader>
  </headerFooter>
  <rowBreaks count="4" manualBreakCount="4">
    <brk id="47" max="16383" man="1"/>
    <brk id="99" max="16383" man="1"/>
    <brk id="142" max="16383" man="1"/>
    <brk id="182"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7000000}">
          <x14:formula1>
            <xm:f>Lookup!$B$8:$G$8</xm:f>
          </x14:formula1>
          <xm:sqref>G16:G26</xm:sqref>
        </x14:dataValidation>
        <x14:dataValidation type="list" allowBlank="1" showInputMessage="1" showErrorMessage="1" xr:uid="{00000000-0002-0000-0400-000008000000}">
          <x14:formula1>
            <xm:f>Lookup!$H$71:$H$90</xm:f>
          </x14:formula1>
          <xm:sqref>A105:B116</xm:sqref>
        </x14:dataValidation>
        <x14:dataValidation type="list" allowBlank="1" showInputMessage="1" showErrorMessage="1" xr:uid="{00000000-0002-0000-0400-000009000000}">
          <x14:formula1>
            <xm:f>Lookup!$H$93:$H$99</xm:f>
          </x14:formula1>
          <xm:sqref>A123:B134</xm:sqref>
        </x14:dataValidation>
        <x14:dataValidation type="list" allowBlank="1" showInputMessage="1" showErrorMessage="1" xr:uid="{00000000-0002-0000-0400-00000A000000}">
          <x14:formula1>
            <xm:f>General!$B$18:$B$24</xm:f>
          </x14:formula1>
          <xm:sqref>E4:F5</xm:sqref>
        </x14:dataValidation>
        <x14:dataValidation type="list" allowBlank="1" showInputMessage="1" showErrorMessage="1" xr:uid="{00000000-0002-0000-0400-00000B000000}">
          <x14:formula1>
            <xm:f>Lookup!$A$10:$A$22</xm:f>
          </x14:formula1>
          <xm:sqref>E16:F24</xm:sqref>
        </x14:dataValidation>
        <x14:dataValidation type="list" allowBlank="1" showInputMessage="1" showErrorMessage="1" xr:uid="{00000000-0002-0000-0400-00000C000000}">
          <x14:formula1>
            <xm:f>Lookup!$H$49:$H$61</xm:f>
          </x14:formula1>
          <xm:sqref>K105:K116 M31:M38 N74:N91</xm:sqref>
        </x14:dataValidation>
        <x14:dataValidation type="list" allowBlank="1" showInputMessage="1" showErrorMessage="1" xr:uid="{00000000-0002-0000-0400-00000D000000}">
          <x14:formula1>
            <xm:f>Lookup!$A$30:$A$40</xm:f>
          </x14:formula1>
          <xm:sqref>E31:E40</xm:sqref>
        </x14:dataValidation>
        <x14:dataValidation type="list" allowBlank="1" showInputMessage="1" showErrorMessage="1" xr:uid="{00000000-0002-0000-0400-00000E000000}">
          <x14:formula1>
            <xm:f>Lookup!$H$103:$H$113</xm:f>
          </x14:formula1>
          <xm:sqref>M151:M163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99"/>
  </sheetPr>
  <dimension ref="A1:T76"/>
  <sheetViews>
    <sheetView zoomScaleNormal="100" zoomScalePageLayoutView="90" workbookViewId="0"/>
  </sheetViews>
  <sheetFormatPr defaultColWidth="7.140625" defaultRowHeight="15" x14ac:dyDescent="0.25"/>
  <cols>
    <col min="1" max="1" width="38.5703125" customWidth="1"/>
    <col min="2" max="2" width="11.7109375" customWidth="1"/>
    <col min="3" max="3" width="0.7109375" customWidth="1"/>
    <col min="4" max="4" width="12.28515625" customWidth="1"/>
    <col min="5" max="5" width="0.85546875" customWidth="1"/>
    <col min="6" max="6" width="11.7109375" customWidth="1"/>
    <col min="7" max="7" width="0.85546875" customWidth="1"/>
    <col min="8" max="8" width="11.7109375" customWidth="1"/>
    <col min="9" max="9" width="0.85546875" customWidth="1"/>
    <col min="10" max="10" width="11.7109375" customWidth="1"/>
    <col min="11" max="11" width="0.85546875" customWidth="1"/>
    <col min="12" max="12" width="11.7109375" customWidth="1"/>
    <col min="13" max="13" width="0.85546875" customWidth="1"/>
    <col min="14" max="14" width="10.7109375" customWidth="1"/>
    <col min="15" max="15" width="7.140625" customWidth="1"/>
    <col min="18" max="18" width="11.7109375" customWidth="1"/>
  </cols>
  <sheetData>
    <row r="1" spans="1:15" x14ac:dyDescent="0.25">
      <c r="M1" s="2" t="str">
        <f>General!A4</f>
        <v>Spreadsheets for Environmental Footprint Analysis (SEFA) Version 3.0, November 2019</v>
      </c>
    </row>
    <row r="2" spans="1:15" x14ac:dyDescent="0.25">
      <c r="M2" s="2" t="e">
        <f ca="1">CONCATENATE(General!$A3," - ", General!$A6)</f>
        <v>#REF!</v>
      </c>
    </row>
    <row r="3" spans="1:15" x14ac:dyDescent="0.25">
      <c r="O3" s="7"/>
    </row>
    <row r="4" spans="1:15" x14ac:dyDescent="0.25">
      <c r="O4" s="7"/>
    </row>
    <row r="5" spans="1:15" x14ac:dyDescent="0.25">
      <c r="A5" s="10" t="s">
        <v>112</v>
      </c>
      <c r="D5" s="650" t="s">
        <v>857</v>
      </c>
      <c r="E5" s="650"/>
      <c r="F5" s="650"/>
      <c r="G5" s="650"/>
      <c r="H5" s="650"/>
      <c r="I5" s="650"/>
      <c r="J5" s="650"/>
      <c r="K5" s="1"/>
      <c r="L5" s="657" t="s">
        <v>694</v>
      </c>
      <c r="M5" s="658"/>
      <c r="N5" s="658"/>
      <c r="O5" s="7"/>
    </row>
    <row r="6" spans="1:15" ht="16.899999999999999" customHeight="1" x14ac:dyDescent="0.25">
      <c r="D6" s="651" t="str">
        <f>IF(OR(D19="ERROR",F19="ERROR", H19="ERROR", J19="ERROR", L19="ERROR"), "Please enter fuel mix for each Remedy Component used in the analysis", "")</f>
        <v/>
      </c>
      <c r="E6" s="651"/>
      <c r="F6" s="651"/>
      <c r="G6" s="651"/>
      <c r="H6" s="651"/>
      <c r="I6" s="651"/>
      <c r="J6" s="651"/>
      <c r="K6" s="651"/>
      <c r="L6" s="651"/>
      <c r="O6" s="7"/>
    </row>
    <row r="7" spans="1:15" x14ac:dyDescent="0.25">
      <c r="A7" s="1" t="s">
        <v>303</v>
      </c>
      <c r="B7" s="58">
        <v>1</v>
      </c>
      <c r="C7" s="58"/>
      <c r="D7" s="58">
        <v>2</v>
      </c>
      <c r="E7" s="51"/>
      <c r="F7" s="58">
        <v>3</v>
      </c>
      <c r="G7" s="51"/>
      <c r="H7" s="58">
        <v>4</v>
      </c>
      <c r="I7" s="51"/>
      <c r="J7" s="58">
        <v>5</v>
      </c>
      <c r="K7" s="51"/>
      <c r="L7" s="58">
        <v>6</v>
      </c>
      <c r="M7" s="51"/>
      <c r="N7" s="656" t="s">
        <v>908</v>
      </c>
      <c r="O7" s="7"/>
    </row>
    <row r="8" spans="1:15" ht="28.15" customHeight="1" x14ac:dyDescent="0.25">
      <c r="A8" s="120" t="s">
        <v>188</v>
      </c>
      <c r="B8" s="121" t="s">
        <v>304</v>
      </c>
      <c r="C8" s="121"/>
      <c r="D8" s="121" t="s">
        <v>304</v>
      </c>
      <c r="E8" s="122"/>
      <c r="F8" s="121" t="s">
        <v>304</v>
      </c>
      <c r="G8" s="122"/>
      <c r="H8" s="121" t="s">
        <v>304</v>
      </c>
      <c r="I8" s="122"/>
      <c r="J8" s="121" t="s">
        <v>304</v>
      </c>
      <c r="K8" s="122"/>
      <c r="L8" s="121" t="s">
        <v>304</v>
      </c>
      <c r="M8" s="51"/>
      <c r="N8" s="656"/>
      <c r="O8" s="7"/>
    </row>
    <row r="9" spans="1:15" x14ac:dyDescent="0.25">
      <c r="A9" s="59" t="s">
        <v>114</v>
      </c>
      <c r="B9" s="123">
        <v>0.30499999999999999</v>
      </c>
      <c r="C9" s="224"/>
      <c r="D9" s="123">
        <v>0.06</v>
      </c>
      <c r="E9" s="225"/>
      <c r="F9" s="123">
        <v>0.06</v>
      </c>
      <c r="G9" s="225"/>
      <c r="H9" s="123">
        <v>0.06</v>
      </c>
      <c r="I9" s="225"/>
      <c r="J9" s="123">
        <v>0.06</v>
      </c>
      <c r="K9" s="225"/>
      <c r="L9" s="123">
        <v>0.06</v>
      </c>
      <c r="M9" s="51"/>
      <c r="N9" s="305">
        <v>0.30499999999999999</v>
      </c>
      <c r="O9" s="7"/>
    </row>
    <row r="10" spans="1:15" x14ac:dyDescent="0.25">
      <c r="A10" s="59" t="s">
        <v>90</v>
      </c>
      <c r="B10" s="123">
        <v>0.33900000000000002</v>
      </c>
      <c r="C10" s="224"/>
      <c r="D10" s="123">
        <v>0.1</v>
      </c>
      <c r="E10" s="225"/>
      <c r="F10" s="123">
        <v>0.1</v>
      </c>
      <c r="G10" s="225"/>
      <c r="H10" s="123">
        <v>0.1</v>
      </c>
      <c r="I10" s="225"/>
      <c r="J10" s="123">
        <v>0.1</v>
      </c>
      <c r="K10" s="225"/>
      <c r="L10" s="123">
        <v>0.1</v>
      </c>
      <c r="M10" s="51"/>
      <c r="N10" s="305">
        <v>0.33900000000000002</v>
      </c>
      <c r="O10" s="7"/>
    </row>
    <row r="11" spans="1:15" x14ac:dyDescent="0.25">
      <c r="A11" s="59" t="s">
        <v>115</v>
      </c>
      <c r="B11" s="123">
        <v>7.0000000000000001E-3</v>
      </c>
      <c r="C11" s="224"/>
      <c r="D11" s="123">
        <v>0.05</v>
      </c>
      <c r="E11" s="225"/>
      <c r="F11" s="123">
        <v>0.05</v>
      </c>
      <c r="G11" s="225"/>
      <c r="H11" s="123">
        <v>0.05</v>
      </c>
      <c r="I11" s="225"/>
      <c r="J11" s="123">
        <v>0.05</v>
      </c>
      <c r="K11" s="225"/>
      <c r="L11" s="123">
        <v>0.05</v>
      </c>
      <c r="M11" s="51"/>
      <c r="N11" s="305">
        <v>7.0000000000000001E-3</v>
      </c>
      <c r="O11" s="7"/>
    </row>
    <row r="12" spans="1:15" x14ac:dyDescent="0.25">
      <c r="A12" s="59" t="s">
        <v>116</v>
      </c>
      <c r="B12" s="123">
        <v>0.19800000000000001</v>
      </c>
      <c r="C12" s="224"/>
      <c r="D12" s="123">
        <v>0.02</v>
      </c>
      <c r="E12" s="225"/>
      <c r="F12" s="123">
        <v>0.02</v>
      </c>
      <c r="G12" s="225"/>
      <c r="H12" s="123">
        <v>0.02</v>
      </c>
      <c r="I12" s="225"/>
      <c r="J12" s="123">
        <v>0.02</v>
      </c>
      <c r="K12" s="225"/>
      <c r="L12" s="123">
        <v>0.02</v>
      </c>
      <c r="M12" s="51"/>
      <c r="N12" s="305">
        <v>0.19800000000000001</v>
      </c>
      <c r="O12" s="7"/>
    </row>
    <row r="13" spans="1:15" x14ac:dyDescent="0.25">
      <c r="A13" s="59" t="s">
        <v>118</v>
      </c>
      <c r="B13" s="123">
        <v>1.7000000000000001E-2</v>
      </c>
      <c r="C13" s="224"/>
      <c r="D13" s="123">
        <v>0.66</v>
      </c>
      <c r="E13" s="225"/>
      <c r="F13" s="123">
        <v>0.66</v>
      </c>
      <c r="G13" s="225"/>
      <c r="H13" s="123">
        <v>0.66</v>
      </c>
      <c r="I13" s="225"/>
      <c r="J13" s="123">
        <v>0.66</v>
      </c>
      <c r="K13" s="225"/>
      <c r="L13" s="123">
        <v>0.66</v>
      </c>
      <c r="M13" s="51"/>
      <c r="N13" s="305">
        <v>1.7000000000000001E-2</v>
      </c>
      <c r="O13" s="7"/>
    </row>
    <row r="14" spans="1:15" x14ac:dyDescent="0.25">
      <c r="A14" s="59" t="s">
        <v>119</v>
      </c>
      <c r="B14" s="123">
        <v>4.0000000000000001E-3</v>
      </c>
      <c r="C14" s="224"/>
      <c r="D14" s="123">
        <v>0</v>
      </c>
      <c r="E14" s="225"/>
      <c r="F14" s="123">
        <v>0</v>
      </c>
      <c r="G14" s="225"/>
      <c r="H14" s="123">
        <v>0</v>
      </c>
      <c r="I14" s="225"/>
      <c r="J14" s="123">
        <v>0</v>
      </c>
      <c r="K14" s="225"/>
      <c r="L14" s="123">
        <v>0</v>
      </c>
      <c r="M14" s="51"/>
      <c r="N14" s="305">
        <v>4.0000000000000001E-3</v>
      </c>
      <c r="O14" s="7"/>
    </row>
    <row r="15" spans="1:15" x14ac:dyDescent="0.25">
      <c r="A15" s="59" t="s">
        <v>120</v>
      </c>
      <c r="B15" s="123">
        <v>6.4000000000000001E-2</v>
      </c>
      <c r="C15" s="224"/>
      <c r="D15" s="123">
        <v>0.11</v>
      </c>
      <c r="E15" s="225"/>
      <c r="F15" s="123">
        <v>0.11</v>
      </c>
      <c r="G15" s="225"/>
      <c r="H15" s="123">
        <v>0.11</v>
      </c>
      <c r="I15" s="225"/>
      <c r="J15" s="123">
        <v>0.11</v>
      </c>
      <c r="K15" s="225"/>
      <c r="L15" s="123">
        <v>0.11</v>
      </c>
      <c r="M15" s="51"/>
      <c r="N15" s="305">
        <v>6.4000000000000001E-2</v>
      </c>
      <c r="O15" s="7"/>
    </row>
    <row r="16" spans="1:15" x14ac:dyDescent="0.25">
      <c r="A16" s="59" t="s">
        <v>121</v>
      </c>
      <c r="B16" s="123">
        <v>8.9999999999999993E-3</v>
      </c>
      <c r="C16" s="224"/>
      <c r="D16" s="123">
        <v>0</v>
      </c>
      <c r="E16" s="225"/>
      <c r="F16" s="123">
        <v>0</v>
      </c>
      <c r="G16" s="225"/>
      <c r="H16" s="123">
        <v>0</v>
      </c>
      <c r="I16" s="225"/>
      <c r="J16" s="123">
        <v>0</v>
      </c>
      <c r="K16" s="225"/>
      <c r="L16" s="123">
        <v>0</v>
      </c>
      <c r="M16" s="51"/>
      <c r="N16" s="305">
        <v>8.9999999999999993E-3</v>
      </c>
      <c r="O16" s="7"/>
    </row>
    <row r="17" spans="1:15" x14ac:dyDescent="0.25">
      <c r="A17" s="59" t="s">
        <v>122</v>
      </c>
      <c r="B17" s="123">
        <v>5.6000000000000001E-2</v>
      </c>
      <c r="C17" s="224"/>
      <c r="D17" s="123">
        <v>0</v>
      </c>
      <c r="E17" s="225"/>
      <c r="F17" s="123">
        <v>0</v>
      </c>
      <c r="G17" s="225"/>
      <c r="H17" s="123">
        <v>0</v>
      </c>
      <c r="I17" s="225"/>
      <c r="J17" s="123">
        <v>0</v>
      </c>
      <c r="K17" s="225"/>
      <c r="L17" s="123">
        <v>0</v>
      </c>
      <c r="M17" s="51"/>
      <c r="N17" s="305">
        <v>5.6000000000000001E-2</v>
      </c>
      <c r="O17" s="7"/>
    </row>
    <row r="18" spans="1:15" x14ac:dyDescent="0.25">
      <c r="A18" s="59" t="s">
        <v>295</v>
      </c>
      <c r="B18" s="123">
        <v>1E-3</v>
      </c>
      <c r="C18" s="224"/>
      <c r="D18" s="123">
        <v>0</v>
      </c>
      <c r="E18" s="225"/>
      <c r="F18" s="123">
        <v>0</v>
      </c>
      <c r="G18" s="225"/>
      <c r="H18" s="123">
        <v>0</v>
      </c>
      <c r="I18" s="225"/>
      <c r="J18" s="123">
        <v>0</v>
      </c>
      <c r="K18" s="225"/>
      <c r="L18" s="123">
        <v>0</v>
      </c>
      <c r="M18" s="51"/>
      <c r="N18" s="305">
        <v>1E-3</v>
      </c>
      <c r="O18" s="7"/>
    </row>
    <row r="19" spans="1:15" x14ac:dyDescent="0.25">
      <c r="A19" s="60" t="s">
        <v>0</v>
      </c>
      <c r="B19" s="117">
        <f>IF(SUM(B9:B18)&lt;&gt;1,"ERROR",SUM(B9:B18))</f>
        <v>1</v>
      </c>
      <c r="C19" s="119"/>
      <c r="D19" s="117">
        <f>IF(SUM(D9:D18)&lt;&gt;1, IF($L$5="Yes","","ERROR"),SUM(D9:D18))</f>
        <v>1</v>
      </c>
      <c r="E19" s="51"/>
      <c r="F19" s="117">
        <f>IF(SUM(F9:F18)&lt;&gt;1, IF($L$5="Yes","","ERROR"),SUM(F9:F18))</f>
        <v>1</v>
      </c>
      <c r="G19" s="119"/>
      <c r="H19" s="117">
        <f t="shared" ref="H19:L19" si="0">IF(SUM(H9:H18)&lt;&gt;1, IF($L$5="Yes","","ERROR"),SUM(H9:H18))</f>
        <v>1</v>
      </c>
      <c r="I19" s="119"/>
      <c r="J19" s="117">
        <f t="shared" si="0"/>
        <v>1</v>
      </c>
      <c r="K19" s="119"/>
      <c r="L19" s="117">
        <f t="shared" si="0"/>
        <v>1</v>
      </c>
      <c r="M19" s="51"/>
      <c r="N19" s="306">
        <v>1</v>
      </c>
      <c r="O19" s="7"/>
    </row>
    <row r="20" spans="1:15" ht="28.9" customHeight="1" x14ac:dyDescent="0.25">
      <c r="A20" s="659" t="s">
        <v>732</v>
      </c>
      <c r="B20" s="659"/>
      <c r="C20" s="659"/>
      <c r="D20" s="659"/>
      <c r="E20" s="659"/>
      <c r="F20" s="659"/>
      <c r="G20" s="659"/>
      <c r="H20" s="659"/>
      <c r="I20" s="659"/>
      <c r="J20" s="659"/>
      <c r="K20" s="659"/>
      <c r="L20" s="659"/>
      <c r="M20" s="659"/>
      <c r="N20" s="659"/>
      <c r="O20" s="7"/>
    </row>
    <row r="21" spans="1:15" ht="27" customHeight="1" x14ac:dyDescent="0.25">
      <c r="A21" s="659" t="s">
        <v>858</v>
      </c>
      <c r="B21" s="659"/>
      <c r="C21" s="659"/>
      <c r="D21" s="659"/>
      <c r="E21" s="659"/>
      <c r="F21" s="659"/>
      <c r="G21" s="659"/>
      <c r="H21" s="659"/>
      <c r="I21" s="659"/>
      <c r="J21" s="659"/>
      <c r="K21" s="659"/>
      <c r="L21" s="659"/>
      <c r="M21" s="659"/>
      <c r="N21" s="659"/>
      <c r="O21" s="7"/>
    </row>
    <row r="22" spans="1:15" ht="15" customHeight="1" x14ac:dyDescent="0.25">
      <c r="A22" s="62"/>
      <c r="B22" s="63"/>
      <c r="C22" s="63"/>
      <c r="O22" s="7"/>
    </row>
    <row r="23" spans="1:15" ht="15" customHeight="1" x14ac:dyDescent="0.25">
      <c r="A23" s="635" t="s">
        <v>109</v>
      </c>
      <c r="B23" s="654" t="s">
        <v>6</v>
      </c>
      <c r="C23" s="635" t="s">
        <v>294</v>
      </c>
      <c r="D23" s="636"/>
      <c r="E23" s="636"/>
      <c r="F23" s="636"/>
      <c r="G23" s="636"/>
      <c r="H23" s="636"/>
      <c r="I23" s="636"/>
      <c r="J23" s="636"/>
      <c r="K23" s="636"/>
      <c r="L23" s="636"/>
      <c r="M23" s="636"/>
      <c r="N23" s="637"/>
      <c r="O23" s="632" t="s">
        <v>179</v>
      </c>
    </row>
    <row r="24" spans="1:15" x14ac:dyDescent="0.25">
      <c r="A24" s="652"/>
      <c r="B24" s="654"/>
      <c r="C24" s="638" t="s">
        <v>110</v>
      </c>
      <c r="D24" s="639"/>
      <c r="E24" s="639"/>
      <c r="F24" s="639"/>
      <c r="G24" s="639"/>
      <c r="H24" s="639"/>
      <c r="I24" s="639"/>
      <c r="J24" s="639"/>
      <c r="K24" s="639"/>
      <c r="L24" s="639"/>
      <c r="M24" s="639"/>
      <c r="N24" s="640"/>
      <c r="O24" s="633"/>
    </row>
    <row r="25" spans="1:15" ht="37.5" x14ac:dyDescent="0.25">
      <c r="A25" s="653"/>
      <c r="B25" s="654"/>
      <c r="C25" s="64"/>
      <c r="D25" s="425" t="s">
        <v>742</v>
      </c>
      <c r="E25" s="64"/>
      <c r="F25" s="64" t="s">
        <v>384</v>
      </c>
      <c r="G25" s="64"/>
      <c r="H25" s="64" t="s">
        <v>385</v>
      </c>
      <c r="I25" s="64"/>
      <c r="J25" s="64" t="s">
        <v>386</v>
      </c>
      <c r="K25" s="64"/>
      <c r="L25" s="64" t="s">
        <v>382</v>
      </c>
      <c r="M25" s="64"/>
      <c r="N25" s="64" t="s">
        <v>383</v>
      </c>
      <c r="O25" s="634"/>
    </row>
    <row r="26" spans="1:15" x14ac:dyDescent="0.25">
      <c r="A26" s="65" t="s">
        <v>297</v>
      </c>
      <c r="B26" s="57" t="s">
        <v>135</v>
      </c>
      <c r="C26" s="57">
        <v>6900</v>
      </c>
      <c r="D26" s="164"/>
      <c r="E26" s="57"/>
      <c r="F26" s="20"/>
      <c r="G26" s="57"/>
      <c r="H26" s="20"/>
      <c r="I26" s="57"/>
      <c r="J26" s="20"/>
      <c r="K26" s="57"/>
      <c r="L26" s="20"/>
      <c r="M26" s="57"/>
      <c r="N26" s="20"/>
      <c r="O26" s="20"/>
    </row>
    <row r="27" spans="1:15" x14ac:dyDescent="0.25">
      <c r="A27" s="65" t="s">
        <v>296</v>
      </c>
      <c r="B27" s="57" t="s">
        <v>135</v>
      </c>
      <c r="C27" s="57"/>
      <c r="D27" s="20"/>
      <c r="E27" s="57"/>
      <c r="F27" s="20"/>
      <c r="G27" s="57"/>
      <c r="H27" s="20"/>
      <c r="I27" s="57"/>
      <c r="J27" s="20"/>
      <c r="K27" s="57"/>
      <c r="L27" s="20"/>
      <c r="M27" s="57"/>
      <c r="N27" s="20"/>
      <c r="O27" s="20"/>
    </row>
    <row r="28" spans="1:15" x14ac:dyDescent="0.25">
      <c r="A28" s="434" t="s">
        <v>487</v>
      </c>
      <c r="B28" s="61"/>
      <c r="C28" s="61"/>
      <c r="D28" s="655" t="str">
        <f>IF(B18&gt;0,"Please fill in all yellow cells in the User Defined Conversion Factors table above",IF(D18&gt;0,"Please fill in all yellow cells in the User Defined Conversion Factors table above",IF(F18&gt;0,"Please fill in all yellow cells in the User Defined Conversion Factors table above",IF(H18&gt;0,"Please fill in all yellow cells in the User Defined Conversion Factors table above",IF(J18&gt;0,"Please fill in all yellow cells in the User Defined Conversion Factors table above",IF(L18&gt;0,"Please fill in all yellow cells in the User Defined Conversion Factors table above"," "))))))</f>
        <v>Please fill in all yellow cells in the User Defined Conversion Factors table above</v>
      </c>
      <c r="E28" s="655"/>
      <c r="F28" s="655"/>
      <c r="G28" s="655"/>
      <c r="H28" s="655"/>
      <c r="I28" s="655"/>
      <c r="J28" s="655"/>
      <c r="K28" s="655"/>
      <c r="L28" s="655"/>
      <c r="M28" s="655"/>
      <c r="N28" s="655"/>
    </row>
    <row r="29" spans="1:15" ht="26.25" x14ac:dyDescent="0.25">
      <c r="A29" s="434" t="s">
        <v>493</v>
      </c>
    </row>
    <row r="31" spans="1:15" x14ac:dyDescent="0.25">
      <c r="A31" s="10"/>
    </row>
    <row r="32" spans="1:15" x14ac:dyDescent="0.25">
      <c r="A32" s="66" t="s">
        <v>156</v>
      </c>
      <c r="B32" s="67"/>
      <c r="C32" s="67"/>
      <c r="D32" s="67"/>
      <c r="E32" s="67"/>
      <c r="F32" s="67"/>
      <c r="G32" s="67"/>
      <c r="H32" s="67"/>
      <c r="I32" s="67"/>
      <c r="J32" s="67"/>
      <c r="K32" s="67"/>
      <c r="L32" s="67"/>
    </row>
    <row r="33" spans="1:14" x14ac:dyDescent="0.25">
      <c r="A33" s="641"/>
      <c r="B33" s="642"/>
      <c r="C33" s="642"/>
      <c r="D33" s="642"/>
      <c r="E33" s="642"/>
      <c r="F33" s="642"/>
      <c r="G33" s="642"/>
      <c r="H33" s="642"/>
      <c r="I33" s="642"/>
      <c r="J33" s="642"/>
      <c r="K33" s="642"/>
      <c r="L33" s="642"/>
      <c r="M33" s="642"/>
      <c r="N33" s="643"/>
    </row>
    <row r="34" spans="1:14" x14ac:dyDescent="0.25">
      <c r="A34" s="644"/>
      <c r="B34" s="645"/>
      <c r="C34" s="645"/>
      <c r="D34" s="645"/>
      <c r="E34" s="645"/>
      <c r="F34" s="645"/>
      <c r="G34" s="645"/>
      <c r="H34" s="645"/>
      <c r="I34" s="645"/>
      <c r="J34" s="645"/>
      <c r="K34" s="645"/>
      <c r="L34" s="645"/>
      <c r="M34" s="645"/>
      <c r="N34" s="646"/>
    </row>
    <row r="35" spans="1:14" x14ac:dyDescent="0.25">
      <c r="A35" s="644"/>
      <c r="B35" s="645"/>
      <c r="C35" s="645"/>
      <c r="D35" s="645"/>
      <c r="E35" s="645"/>
      <c r="F35" s="645"/>
      <c r="G35" s="645"/>
      <c r="H35" s="645"/>
      <c r="I35" s="645"/>
      <c r="J35" s="645"/>
      <c r="K35" s="645"/>
      <c r="L35" s="645"/>
      <c r="M35" s="645"/>
      <c r="N35" s="646"/>
    </row>
    <row r="36" spans="1:14" x14ac:dyDescent="0.25">
      <c r="A36" s="644"/>
      <c r="B36" s="645"/>
      <c r="C36" s="645"/>
      <c r="D36" s="645"/>
      <c r="E36" s="645"/>
      <c r="F36" s="645"/>
      <c r="G36" s="645"/>
      <c r="H36" s="645"/>
      <c r="I36" s="645"/>
      <c r="J36" s="645"/>
      <c r="K36" s="645"/>
      <c r="L36" s="645"/>
      <c r="M36" s="645"/>
      <c r="N36" s="646"/>
    </row>
    <row r="37" spans="1:14" x14ac:dyDescent="0.25">
      <c r="A37" s="644"/>
      <c r="B37" s="645"/>
      <c r="C37" s="645"/>
      <c r="D37" s="645"/>
      <c r="E37" s="645"/>
      <c r="F37" s="645"/>
      <c r="G37" s="645"/>
      <c r="H37" s="645"/>
      <c r="I37" s="645"/>
      <c r="J37" s="645"/>
      <c r="K37" s="645"/>
      <c r="L37" s="645"/>
      <c r="M37" s="645"/>
      <c r="N37" s="646"/>
    </row>
    <row r="38" spans="1:14" x14ac:dyDescent="0.25">
      <c r="A38" s="644"/>
      <c r="B38" s="645"/>
      <c r="C38" s="645"/>
      <c r="D38" s="645"/>
      <c r="E38" s="645"/>
      <c r="F38" s="645"/>
      <c r="G38" s="645"/>
      <c r="H38" s="645"/>
      <c r="I38" s="645"/>
      <c r="J38" s="645"/>
      <c r="K38" s="645"/>
      <c r="L38" s="645"/>
      <c r="M38" s="645"/>
      <c r="N38" s="646"/>
    </row>
    <row r="39" spans="1:14" x14ac:dyDescent="0.25">
      <c r="A39" s="644"/>
      <c r="B39" s="645"/>
      <c r="C39" s="645"/>
      <c r="D39" s="645"/>
      <c r="E39" s="645"/>
      <c r="F39" s="645"/>
      <c r="G39" s="645"/>
      <c r="H39" s="645"/>
      <c r="I39" s="645"/>
      <c r="J39" s="645"/>
      <c r="K39" s="645"/>
      <c r="L39" s="645"/>
      <c r="M39" s="645"/>
      <c r="N39" s="646"/>
    </row>
    <row r="40" spans="1:14" x14ac:dyDescent="0.25">
      <c r="A40" s="644"/>
      <c r="B40" s="645"/>
      <c r="C40" s="645"/>
      <c r="D40" s="645"/>
      <c r="E40" s="645"/>
      <c r="F40" s="645"/>
      <c r="G40" s="645"/>
      <c r="H40" s="645"/>
      <c r="I40" s="645"/>
      <c r="J40" s="645"/>
      <c r="K40" s="645"/>
      <c r="L40" s="645"/>
      <c r="M40" s="645"/>
      <c r="N40" s="646"/>
    </row>
    <row r="41" spans="1:14" x14ac:dyDescent="0.25">
      <c r="A41" s="644"/>
      <c r="B41" s="645"/>
      <c r="C41" s="645"/>
      <c r="D41" s="645"/>
      <c r="E41" s="645"/>
      <c r="F41" s="645"/>
      <c r="G41" s="645"/>
      <c r="H41" s="645"/>
      <c r="I41" s="645"/>
      <c r="J41" s="645"/>
      <c r="K41" s="645"/>
      <c r="L41" s="645"/>
      <c r="M41" s="645"/>
      <c r="N41" s="646"/>
    </row>
    <row r="42" spans="1:14" x14ac:dyDescent="0.25">
      <c r="A42" s="644"/>
      <c r="B42" s="645"/>
      <c r="C42" s="645"/>
      <c r="D42" s="645"/>
      <c r="E42" s="645"/>
      <c r="F42" s="645"/>
      <c r="G42" s="645"/>
      <c r="H42" s="645"/>
      <c r="I42" s="645"/>
      <c r="J42" s="645"/>
      <c r="K42" s="645"/>
      <c r="L42" s="645"/>
      <c r="M42" s="645"/>
      <c r="N42" s="646"/>
    </row>
    <row r="43" spans="1:14" x14ac:dyDescent="0.25">
      <c r="A43" s="644"/>
      <c r="B43" s="645"/>
      <c r="C43" s="645"/>
      <c r="D43" s="645"/>
      <c r="E43" s="645"/>
      <c r="F43" s="645"/>
      <c r="G43" s="645"/>
      <c r="H43" s="645"/>
      <c r="I43" s="645"/>
      <c r="J43" s="645"/>
      <c r="K43" s="645"/>
      <c r="L43" s="645"/>
      <c r="M43" s="645"/>
      <c r="N43" s="646"/>
    </row>
    <row r="44" spans="1:14" x14ac:dyDescent="0.25">
      <c r="A44" s="644"/>
      <c r="B44" s="645"/>
      <c r="C44" s="645"/>
      <c r="D44" s="645"/>
      <c r="E44" s="645"/>
      <c r="F44" s="645"/>
      <c r="G44" s="645"/>
      <c r="H44" s="645"/>
      <c r="I44" s="645"/>
      <c r="J44" s="645"/>
      <c r="K44" s="645"/>
      <c r="L44" s="645"/>
      <c r="M44" s="645"/>
      <c r="N44" s="646"/>
    </row>
    <row r="45" spans="1:14" x14ac:dyDescent="0.25">
      <c r="A45" s="644"/>
      <c r="B45" s="645"/>
      <c r="C45" s="645"/>
      <c r="D45" s="645"/>
      <c r="E45" s="645"/>
      <c r="F45" s="645"/>
      <c r="G45" s="645"/>
      <c r="H45" s="645"/>
      <c r="I45" s="645"/>
      <c r="J45" s="645"/>
      <c r="K45" s="645"/>
      <c r="L45" s="645"/>
      <c r="M45" s="645"/>
      <c r="N45" s="646"/>
    </row>
    <row r="46" spans="1:14" x14ac:dyDescent="0.25">
      <c r="A46" s="644"/>
      <c r="B46" s="645"/>
      <c r="C46" s="645"/>
      <c r="D46" s="645"/>
      <c r="E46" s="645"/>
      <c r="F46" s="645"/>
      <c r="G46" s="645"/>
      <c r="H46" s="645"/>
      <c r="I46" s="645"/>
      <c r="J46" s="645"/>
      <c r="K46" s="645"/>
      <c r="L46" s="645"/>
      <c r="M46" s="645"/>
      <c r="N46" s="646"/>
    </row>
    <row r="47" spans="1:14" x14ac:dyDescent="0.25">
      <c r="A47" s="644"/>
      <c r="B47" s="645"/>
      <c r="C47" s="645"/>
      <c r="D47" s="645"/>
      <c r="E47" s="645"/>
      <c r="F47" s="645"/>
      <c r="G47" s="645"/>
      <c r="H47" s="645"/>
      <c r="I47" s="645"/>
      <c r="J47" s="645"/>
      <c r="K47" s="645"/>
      <c r="L47" s="645"/>
      <c r="M47" s="645"/>
      <c r="N47" s="646"/>
    </row>
    <row r="48" spans="1:14" x14ac:dyDescent="0.25">
      <c r="A48" s="644"/>
      <c r="B48" s="645"/>
      <c r="C48" s="645"/>
      <c r="D48" s="645"/>
      <c r="E48" s="645"/>
      <c r="F48" s="645"/>
      <c r="G48" s="645"/>
      <c r="H48" s="645"/>
      <c r="I48" s="645"/>
      <c r="J48" s="645"/>
      <c r="K48" s="645"/>
      <c r="L48" s="645"/>
      <c r="M48" s="645"/>
      <c r="N48" s="646"/>
    </row>
    <row r="49" spans="1:20" x14ac:dyDescent="0.25">
      <c r="A49" s="647"/>
      <c r="B49" s="648"/>
      <c r="C49" s="648"/>
      <c r="D49" s="648"/>
      <c r="E49" s="648"/>
      <c r="F49" s="648"/>
      <c r="G49" s="648"/>
      <c r="H49" s="648"/>
      <c r="I49" s="648"/>
      <c r="J49" s="648"/>
      <c r="K49" s="648"/>
      <c r="L49" s="648"/>
      <c r="M49" s="648"/>
      <c r="N49" s="649"/>
    </row>
    <row r="50" spans="1:20" x14ac:dyDescent="0.25">
      <c r="A50" s="7"/>
      <c r="B50" s="7"/>
      <c r="C50" s="7"/>
      <c r="D50" s="7"/>
      <c r="E50" s="7"/>
      <c r="F50" s="7"/>
      <c r="G50" s="7"/>
      <c r="H50" s="7"/>
      <c r="I50" s="7"/>
      <c r="J50" s="7"/>
      <c r="K50" s="7"/>
      <c r="L50" s="7"/>
      <c r="M50" s="7"/>
      <c r="N50" s="7"/>
      <c r="O50" s="7"/>
    </row>
    <row r="51" spans="1:20" x14ac:dyDescent="0.25">
      <c r="A51" s="7"/>
      <c r="B51" s="7"/>
      <c r="C51" s="7"/>
      <c r="D51" s="7"/>
      <c r="E51" s="7"/>
      <c r="F51" s="7"/>
      <c r="G51" s="7"/>
      <c r="H51" s="7"/>
      <c r="I51" s="7"/>
      <c r="J51" s="7"/>
      <c r="K51" s="7"/>
      <c r="L51" s="7"/>
      <c r="M51" s="7"/>
      <c r="N51" s="7"/>
      <c r="O51" s="7"/>
    </row>
    <row r="52" spans="1:20" x14ac:dyDescent="0.25">
      <c r="A52" s="7"/>
      <c r="B52" s="7"/>
      <c r="C52" s="7"/>
      <c r="D52" s="7"/>
      <c r="E52" s="7"/>
      <c r="F52" s="7"/>
      <c r="G52" s="7"/>
      <c r="H52" s="7"/>
      <c r="I52" s="7"/>
      <c r="J52" s="7"/>
      <c r="K52" s="7"/>
      <c r="L52" s="7"/>
      <c r="M52" s="7"/>
      <c r="N52" s="7"/>
      <c r="O52" s="7"/>
    </row>
    <row r="53" spans="1:20" x14ac:dyDescent="0.25">
      <c r="A53" s="7"/>
      <c r="B53" s="7"/>
      <c r="C53" s="7"/>
      <c r="D53" s="7"/>
      <c r="E53" s="7"/>
      <c r="F53" s="7"/>
      <c r="G53" s="7"/>
      <c r="H53" s="7"/>
      <c r="I53" s="7"/>
      <c r="J53" s="7"/>
      <c r="K53" s="7"/>
      <c r="L53" s="7"/>
      <c r="M53" s="7"/>
      <c r="N53" s="7"/>
      <c r="O53" s="7"/>
    </row>
    <row r="54" spans="1:20" x14ac:dyDescent="0.25">
      <c r="A54" s="7"/>
      <c r="B54" s="7"/>
      <c r="C54" s="7"/>
      <c r="D54" s="7"/>
      <c r="E54" s="7"/>
      <c r="F54" s="7"/>
      <c r="G54" s="7"/>
      <c r="H54" s="7"/>
      <c r="I54" s="7"/>
      <c r="J54" s="7"/>
      <c r="K54" s="7"/>
      <c r="L54" s="7"/>
      <c r="M54" s="7"/>
      <c r="N54" s="7"/>
      <c r="O54" s="7"/>
    </row>
    <row r="55" spans="1:20" x14ac:dyDescent="0.25">
      <c r="A55" s="7"/>
      <c r="B55" s="7"/>
      <c r="C55" s="7"/>
      <c r="D55" s="7"/>
      <c r="E55" s="7"/>
      <c r="F55" s="7"/>
      <c r="G55" s="7"/>
      <c r="H55" s="7"/>
      <c r="I55" s="7"/>
      <c r="J55" s="7"/>
      <c r="K55" s="7"/>
      <c r="L55" s="7"/>
      <c r="M55" s="7"/>
      <c r="N55" s="7"/>
      <c r="O55" s="7"/>
    </row>
    <row r="56" spans="1:20" x14ac:dyDescent="0.25">
      <c r="A56" s="7"/>
      <c r="B56" s="7"/>
      <c r="C56" s="7"/>
      <c r="D56" s="7"/>
      <c r="E56" s="7"/>
      <c r="F56" s="7"/>
      <c r="G56" s="7"/>
      <c r="H56" s="7"/>
      <c r="I56" s="7"/>
      <c r="J56" s="7"/>
      <c r="K56" s="7"/>
      <c r="L56" s="7"/>
      <c r="M56" s="7"/>
      <c r="N56" s="7"/>
      <c r="O56" s="7"/>
    </row>
    <row r="57" spans="1:20" x14ac:dyDescent="0.25">
      <c r="A57" s="229"/>
      <c r="B57" s="229"/>
      <c r="C57" s="229"/>
      <c r="D57" s="229"/>
      <c r="E57" s="229"/>
      <c r="F57" s="229"/>
      <c r="G57" s="229"/>
      <c r="H57" s="229"/>
      <c r="I57" s="229"/>
      <c r="J57" s="229"/>
      <c r="K57" s="229"/>
      <c r="L57" s="229"/>
      <c r="M57" s="7"/>
      <c r="N57" s="7"/>
      <c r="O57" s="7"/>
    </row>
    <row r="58" spans="1:20" x14ac:dyDescent="0.25">
      <c r="A58" s="229"/>
      <c r="B58" s="229"/>
      <c r="C58" s="229"/>
      <c r="D58" s="229"/>
      <c r="E58" s="229"/>
      <c r="F58" s="229"/>
      <c r="G58" s="229"/>
      <c r="H58" s="229"/>
      <c r="I58" s="229"/>
      <c r="J58" s="229"/>
      <c r="K58" s="229"/>
      <c r="L58" s="229"/>
      <c r="M58" s="7"/>
      <c r="N58" s="7"/>
      <c r="O58" s="7"/>
    </row>
    <row r="59" spans="1:20" x14ac:dyDescent="0.25">
      <c r="A59" s="229"/>
      <c r="B59" s="229"/>
      <c r="C59" s="229"/>
      <c r="D59" s="229"/>
      <c r="E59" s="229"/>
      <c r="F59" s="229"/>
      <c r="G59" s="229"/>
      <c r="H59" s="229"/>
      <c r="I59" s="229"/>
      <c r="J59" s="229"/>
      <c r="K59" s="229"/>
      <c r="L59" s="229"/>
      <c r="M59" s="7"/>
      <c r="N59" s="7"/>
      <c r="O59" s="7"/>
    </row>
    <row r="60" spans="1:20" x14ac:dyDescent="0.25">
      <c r="A60" s="7"/>
      <c r="B60" s="7"/>
      <c r="C60" s="7"/>
      <c r="D60" s="7"/>
      <c r="E60" s="7"/>
      <c r="F60" s="7"/>
      <c r="G60" s="7"/>
      <c r="H60" s="7"/>
      <c r="I60" s="7"/>
      <c r="J60" s="7"/>
      <c r="K60" s="7"/>
      <c r="L60" s="7"/>
      <c r="M60" s="7"/>
      <c r="N60" s="7"/>
      <c r="O60" s="7"/>
    </row>
    <row r="61" spans="1:20" x14ac:dyDescent="0.25">
      <c r="A61" s="7"/>
      <c r="B61" s="7"/>
      <c r="C61" s="7"/>
      <c r="D61" s="7"/>
      <c r="E61" s="7"/>
      <c r="F61" s="7"/>
      <c r="G61" s="7"/>
      <c r="H61" s="7"/>
      <c r="I61" s="7"/>
      <c r="J61" s="7"/>
      <c r="K61" s="7"/>
      <c r="L61" s="7"/>
      <c r="M61" s="7"/>
      <c r="N61" s="7"/>
      <c r="O61" s="7"/>
    </row>
    <row r="62" spans="1:20" x14ac:dyDescent="0.25">
      <c r="A62" s="7"/>
      <c r="B62" s="7"/>
      <c r="C62" s="7"/>
      <c r="D62" s="7"/>
      <c r="E62" s="7"/>
      <c r="F62" s="7"/>
      <c r="G62" s="7"/>
      <c r="H62" s="7"/>
      <c r="I62" s="7"/>
      <c r="J62" s="7"/>
      <c r="K62" s="7"/>
      <c r="L62" s="7"/>
      <c r="M62" s="7"/>
      <c r="N62" s="7"/>
      <c r="O62" s="7"/>
    </row>
    <row r="63" spans="1:20" ht="7.9" customHeight="1" x14ac:dyDescent="0.25">
      <c r="A63" s="660"/>
      <c r="B63" s="660"/>
      <c r="C63" s="660"/>
      <c r="D63" s="660"/>
      <c r="E63" s="660"/>
      <c r="F63" s="660"/>
      <c r="G63" s="660"/>
      <c r="H63" s="660"/>
      <c r="I63" s="660"/>
      <c r="J63" s="660"/>
      <c r="K63" s="660"/>
      <c r="L63" s="660"/>
      <c r="M63" s="660"/>
      <c r="N63" s="660"/>
      <c r="O63" s="660"/>
      <c r="P63" s="330"/>
      <c r="Q63" s="330"/>
      <c r="R63" s="330"/>
      <c r="S63" s="330"/>
      <c r="T63" s="330"/>
    </row>
    <row r="64" spans="1:20" ht="22.15" customHeight="1" x14ac:dyDescent="0.25">
      <c r="A64" s="662" t="s">
        <v>611</v>
      </c>
      <c r="B64" s="662"/>
      <c r="C64" s="662"/>
      <c r="D64" s="662"/>
      <c r="E64" s="662"/>
      <c r="F64" s="662"/>
      <c r="G64" s="662"/>
      <c r="H64" s="662"/>
      <c r="I64" s="662"/>
      <c r="J64" s="662"/>
      <c r="K64" s="662"/>
      <c r="L64" s="662"/>
      <c r="M64" s="662"/>
      <c r="N64" s="662"/>
      <c r="O64" s="662"/>
      <c r="P64" s="329"/>
      <c r="Q64" s="329"/>
      <c r="R64" s="329"/>
      <c r="S64" s="329"/>
      <c r="T64" s="329"/>
    </row>
    <row r="65" spans="1:20" ht="7.9" customHeight="1" x14ac:dyDescent="0.25">
      <c r="A65" s="660"/>
      <c r="B65" s="660"/>
      <c r="C65" s="660"/>
      <c r="D65" s="660"/>
      <c r="E65" s="660"/>
      <c r="F65" s="660"/>
      <c r="G65" s="660"/>
      <c r="H65" s="660"/>
      <c r="I65" s="660"/>
      <c r="J65" s="660"/>
      <c r="K65" s="660"/>
      <c r="L65" s="660"/>
      <c r="M65" s="660"/>
      <c r="N65" s="660"/>
      <c r="O65" s="660"/>
      <c r="P65" s="330"/>
      <c r="Q65" s="330"/>
      <c r="R65" s="330"/>
      <c r="S65" s="330"/>
      <c r="T65" s="330"/>
    </row>
    <row r="66" spans="1:20" ht="22.15" customHeight="1" x14ac:dyDescent="0.25">
      <c r="A66" s="661" t="s">
        <v>612</v>
      </c>
      <c r="B66" s="661"/>
      <c r="C66" s="661"/>
      <c r="D66" s="661"/>
      <c r="E66" s="661"/>
      <c r="F66" s="661"/>
      <c r="G66" s="661"/>
      <c r="H66" s="661"/>
      <c r="I66" s="661"/>
      <c r="J66" s="661"/>
      <c r="K66" s="661"/>
      <c r="L66" s="661"/>
      <c r="M66" s="661"/>
      <c r="N66" s="661"/>
      <c r="O66" s="661"/>
      <c r="P66" s="331"/>
      <c r="Q66" s="331"/>
      <c r="R66" s="331"/>
      <c r="S66" s="331"/>
      <c r="T66" s="331"/>
    </row>
    <row r="67" spans="1:20" ht="106.15" customHeight="1" x14ac:dyDescent="0.25">
      <c r="A67" s="663" t="s">
        <v>860</v>
      </c>
      <c r="B67" s="663"/>
      <c r="C67" s="663"/>
      <c r="D67" s="663"/>
      <c r="E67" s="663"/>
      <c r="F67" s="663"/>
      <c r="G67" s="663"/>
      <c r="H67" s="663"/>
      <c r="I67" s="663"/>
      <c r="J67" s="663"/>
      <c r="K67" s="663"/>
      <c r="L67" s="663"/>
      <c r="M67" s="663"/>
      <c r="N67" s="663"/>
      <c r="O67" s="663"/>
      <c r="P67" s="332"/>
      <c r="Q67" s="332"/>
      <c r="R67" s="332"/>
      <c r="S67" s="332"/>
      <c r="T67" s="332"/>
    </row>
    <row r="68" spans="1:20" ht="7.9" customHeight="1" x14ac:dyDescent="0.25">
      <c r="A68" s="660"/>
      <c r="B68" s="660"/>
      <c r="C68" s="660"/>
      <c r="D68" s="660"/>
      <c r="E68" s="660"/>
      <c r="F68" s="660"/>
      <c r="G68" s="660"/>
      <c r="H68" s="660"/>
      <c r="I68" s="660"/>
      <c r="J68" s="660"/>
      <c r="K68" s="660"/>
      <c r="L68" s="660"/>
      <c r="M68" s="660"/>
      <c r="N68" s="660"/>
      <c r="O68" s="660"/>
      <c r="P68" s="330"/>
      <c r="Q68" s="330"/>
      <c r="R68" s="330"/>
      <c r="S68" s="330"/>
      <c r="T68" s="330"/>
    </row>
    <row r="69" spans="1:20" ht="22.15" customHeight="1" x14ac:dyDescent="0.25">
      <c r="A69" s="661" t="s">
        <v>489</v>
      </c>
      <c r="B69" s="661"/>
      <c r="C69" s="661"/>
      <c r="D69" s="661"/>
      <c r="E69" s="661"/>
      <c r="F69" s="661"/>
      <c r="G69" s="661"/>
      <c r="H69" s="661"/>
      <c r="I69" s="661"/>
      <c r="J69" s="661"/>
      <c r="K69" s="661"/>
      <c r="L69" s="661"/>
      <c r="M69" s="661"/>
      <c r="N69" s="661"/>
      <c r="O69" s="661"/>
      <c r="P69" s="331"/>
      <c r="Q69" s="331"/>
      <c r="R69" s="331"/>
      <c r="S69" s="331"/>
      <c r="T69" s="331"/>
    </row>
    <row r="70" spans="1:20" ht="33.6" customHeight="1" x14ac:dyDescent="0.25">
      <c r="A70" s="664" t="s">
        <v>613</v>
      </c>
      <c r="B70" s="664"/>
      <c r="C70" s="664"/>
      <c r="D70" s="664"/>
      <c r="E70" s="664"/>
      <c r="F70" s="664"/>
      <c r="G70" s="664"/>
      <c r="H70" s="664"/>
      <c r="I70" s="664"/>
      <c r="J70" s="664"/>
      <c r="K70" s="664"/>
      <c r="L70" s="664"/>
      <c r="M70" s="664"/>
      <c r="N70" s="664"/>
      <c r="O70" s="664"/>
      <c r="P70" s="333"/>
      <c r="Q70" s="333"/>
      <c r="R70" s="333"/>
      <c r="S70" s="333"/>
      <c r="T70" s="333"/>
    </row>
    <row r="71" spans="1:20" ht="30" customHeight="1" x14ac:dyDescent="0.25">
      <c r="A71" s="665" t="s">
        <v>859</v>
      </c>
      <c r="B71" s="666"/>
      <c r="C71" s="666"/>
      <c r="D71" s="666"/>
      <c r="E71" s="666"/>
      <c r="F71" s="666"/>
      <c r="G71" s="666"/>
      <c r="H71" s="666"/>
      <c r="I71" s="666"/>
      <c r="J71" s="666"/>
      <c r="K71" s="666"/>
      <c r="L71" s="666"/>
      <c r="M71" s="666"/>
      <c r="N71" s="666"/>
      <c r="O71" s="666"/>
      <c r="P71" s="333"/>
      <c r="Q71" s="333"/>
      <c r="R71" s="333"/>
      <c r="S71" s="333"/>
      <c r="T71" s="333"/>
    </row>
    <row r="72" spans="1:20" ht="42.6" customHeight="1" x14ac:dyDescent="0.25">
      <c r="A72" s="665" t="s">
        <v>861</v>
      </c>
      <c r="B72" s="666"/>
      <c r="C72" s="666"/>
      <c r="D72" s="666"/>
      <c r="E72" s="666"/>
      <c r="F72" s="666"/>
      <c r="G72" s="666"/>
      <c r="H72" s="666"/>
      <c r="I72" s="666"/>
      <c r="J72" s="666"/>
      <c r="K72" s="666"/>
      <c r="L72" s="666"/>
      <c r="M72" s="666"/>
      <c r="N72" s="666"/>
      <c r="O72" s="666"/>
      <c r="P72" s="333"/>
      <c r="Q72" s="333"/>
      <c r="R72" s="333"/>
      <c r="S72" s="333"/>
      <c r="T72" s="333"/>
    </row>
    <row r="73" spans="1:20" ht="17.45" customHeight="1" x14ac:dyDescent="0.25">
      <c r="A73" s="665" t="s">
        <v>494</v>
      </c>
      <c r="B73" s="666"/>
      <c r="C73" s="666"/>
      <c r="D73" s="666"/>
      <c r="E73" s="666"/>
      <c r="F73" s="666"/>
      <c r="G73" s="666"/>
      <c r="H73" s="666"/>
      <c r="I73" s="666"/>
      <c r="J73" s="666"/>
      <c r="K73" s="666"/>
      <c r="L73" s="666"/>
      <c r="M73" s="666"/>
      <c r="N73" s="666"/>
      <c r="O73" s="666"/>
      <c r="P73" s="333"/>
      <c r="Q73" s="333"/>
      <c r="R73" s="333"/>
      <c r="S73" s="333"/>
      <c r="T73" s="333"/>
    </row>
    <row r="74" spans="1:20" ht="30" customHeight="1" x14ac:dyDescent="0.25">
      <c r="A74" s="665" t="s">
        <v>862</v>
      </c>
      <c r="B74" s="666"/>
      <c r="C74" s="666"/>
      <c r="D74" s="666"/>
      <c r="E74" s="666"/>
      <c r="F74" s="666"/>
      <c r="G74" s="666"/>
      <c r="H74" s="666"/>
      <c r="I74" s="666"/>
      <c r="J74" s="666"/>
      <c r="K74" s="666"/>
      <c r="L74" s="666"/>
      <c r="M74" s="666"/>
      <c r="N74" s="666"/>
      <c r="O74" s="666"/>
      <c r="P74" s="333"/>
      <c r="Q74" s="333"/>
      <c r="R74" s="333"/>
      <c r="S74" s="333"/>
      <c r="T74" s="333"/>
    </row>
    <row r="75" spans="1:20" ht="56.45" customHeight="1" x14ac:dyDescent="0.25">
      <c r="A75" s="664" t="s">
        <v>863</v>
      </c>
      <c r="B75" s="664"/>
      <c r="C75" s="664"/>
      <c r="D75" s="664"/>
      <c r="E75" s="664"/>
      <c r="F75" s="664"/>
      <c r="G75" s="664"/>
      <c r="H75" s="664"/>
      <c r="I75" s="664"/>
      <c r="J75" s="664"/>
      <c r="K75" s="664"/>
      <c r="L75" s="664"/>
      <c r="M75" s="664"/>
      <c r="N75" s="664"/>
      <c r="O75" s="664"/>
      <c r="P75" s="333"/>
      <c r="Q75" s="333"/>
      <c r="R75" s="333"/>
      <c r="S75" s="333"/>
      <c r="T75" s="333"/>
    </row>
    <row r="76" spans="1:20" ht="56.45" customHeight="1" x14ac:dyDescent="0.25">
      <c r="A76" s="664" t="s">
        <v>864</v>
      </c>
      <c r="B76" s="664"/>
      <c r="C76" s="664"/>
      <c r="D76" s="664"/>
      <c r="E76" s="664"/>
      <c r="F76" s="664"/>
      <c r="G76" s="664"/>
      <c r="H76" s="664"/>
      <c r="I76" s="664"/>
      <c r="J76" s="664"/>
      <c r="K76" s="664"/>
      <c r="L76" s="664"/>
      <c r="M76" s="664"/>
      <c r="N76" s="664"/>
      <c r="O76" s="664"/>
      <c r="P76" s="333"/>
      <c r="Q76" s="333"/>
      <c r="R76" s="333"/>
      <c r="S76" s="333"/>
      <c r="T76" s="333"/>
    </row>
  </sheetData>
  <sheetProtection algorithmName="SHA-512" hashValue="wspMs0NTqyML7SoVNvUHz3SOZ+axE+EJ/dwYGSC8eSfJs1cOh8o5ut5yyhYXa7YRe4KpMyB6djmJnm8P0xQRGA==" saltValue="qF8/gql2hNAKvHTPqK+WoA==" spinCount="100000" sheet="1" formatCells="0" formatColumns="0" formatRows="0"/>
  <mergeCells count="27">
    <mergeCell ref="A75:O75"/>
    <mergeCell ref="A76:O76"/>
    <mergeCell ref="A73:O73"/>
    <mergeCell ref="A70:O70"/>
    <mergeCell ref="A71:O71"/>
    <mergeCell ref="A72:O72"/>
    <mergeCell ref="A74:O74"/>
    <mergeCell ref="A68:O68"/>
    <mergeCell ref="A69:O69"/>
    <mergeCell ref="A63:O63"/>
    <mergeCell ref="A64:O64"/>
    <mergeCell ref="A65:O65"/>
    <mergeCell ref="A66:O66"/>
    <mergeCell ref="A67:O67"/>
    <mergeCell ref="O23:O25"/>
    <mergeCell ref="C23:N23"/>
    <mergeCell ref="C24:N24"/>
    <mergeCell ref="A33:N49"/>
    <mergeCell ref="D5:J5"/>
    <mergeCell ref="D6:L6"/>
    <mergeCell ref="A23:A25"/>
    <mergeCell ref="B23:B25"/>
    <mergeCell ref="D28:N28"/>
    <mergeCell ref="N7:N8"/>
    <mergeCell ref="L5:N5"/>
    <mergeCell ref="A20:N20"/>
    <mergeCell ref="A21:N21"/>
  </mergeCells>
  <conditionalFormatting sqref="D9">
    <cfRule type="expression" dxfId="12" priority="29">
      <formula>$L$5="Yes"</formula>
    </cfRule>
  </conditionalFormatting>
  <conditionalFormatting sqref="D9:D18">
    <cfRule type="expression" dxfId="11" priority="28">
      <formula>$L$5="Use a Single Fuel Mix"</formula>
    </cfRule>
  </conditionalFormatting>
  <conditionalFormatting sqref="F9">
    <cfRule type="expression" dxfId="10" priority="8">
      <formula>$L$5="Yes"</formula>
    </cfRule>
  </conditionalFormatting>
  <conditionalFormatting sqref="F9:F18">
    <cfRule type="expression" dxfId="9" priority="7">
      <formula>$L$5="Use a Single Fuel Mix"</formula>
    </cfRule>
  </conditionalFormatting>
  <conditionalFormatting sqref="H9">
    <cfRule type="expression" dxfId="8" priority="6">
      <formula>$L$5="Yes"</formula>
    </cfRule>
  </conditionalFormatting>
  <conditionalFormatting sqref="H9:H18">
    <cfRule type="expression" dxfId="7" priority="5">
      <formula>$L$5="Use a Single Fuel Mix"</formula>
    </cfRule>
  </conditionalFormatting>
  <conditionalFormatting sqref="J9">
    <cfRule type="expression" dxfId="6" priority="4">
      <formula>$L$5="Yes"</formula>
    </cfRule>
  </conditionalFormatting>
  <conditionalFormatting sqref="J9:J18">
    <cfRule type="expression" dxfId="5" priority="3">
      <formula>$L$5="Use a Single Fuel Mix"</formula>
    </cfRule>
  </conditionalFormatting>
  <conditionalFormatting sqref="L9:L18">
    <cfRule type="expression" dxfId="4" priority="1">
      <formula>$L$5="Use a Single Fuel Mix"</formula>
    </cfRule>
  </conditionalFormatting>
  <conditionalFormatting sqref="L9">
    <cfRule type="expression" dxfId="3" priority="2">
      <formula>$L$5="Use a Single Fuel Mix"</formula>
    </cfRule>
  </conditionalFormatting>
  <dataValidations count="2">
    <dataValidation type="decimal" operator="lessThanOrEqual" allowBlank="1" showInputMessage="1" showErrorMessage="1" sqref="B9:B16 D9:D16 J9:J16 L9:L16 H9:H16 F9:F16 N9:N16" xr:uid="{00000000-0002-0000-0500-000000000000}">
      <formula1>1</formula1>
    </dataValidation>
    <dataValidation type="list" allowBlank="1" showInputMessage="1" showErrorMessage="1" sqref="L5" xr:uid="{00000000-0002-0000-0500-000001000000}">
      <formula1>"Use a Single Fuel Mix, Use Different Fuel Mixes"</formula1>
    </dataValidation>
  </dataValidations>
  <pageMargins left="0.7" right="0.7" top="0.75" bottom="0.75" header="0.3" footer="0.3"/>
  <pageSetup scale="70" orientation="portrait" r:id="rId1"/>
  <headerFooter>
    <oddHeader>&amp;RPage &amp;P</oddHead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A1:T152"/>
  <sheetViews>
    <sheetView zoomScaleNormal="100" zoomScaleSheetLayoutView="100" zoomScalePageLayoutView="90" workbookViewId="0"/>
  </sheetViews>
  <sheetFormatPr defaultRowHeight="15" x14ac:dyDescent="0.25"/>
  <cols>
    <col min="1" max="1" width="44.42578125" customWidth="1"/>
    <col min="2" max="2" width="9.7109375" customWidth="1"/>
    <col min="3" max="3" width="9.140625" customWidth="1"/>
    <col min="4" max="4" width="12.7109375" customWidth="1"/>
    <col min="5" max="5" width="0.85546875" customWidth="1"/>
    <col min="6" max="6" width="12" customWidth="1"/>
    <col min="7" max="7" width="0.85546875" customWidth="1"/>
    <col min="8" max="8" width="10.140625" customWidth="1"/>
    <col min="9" max="9" width="0.85546875" customWidth="1"/>
    <col min="11" max="11" width="0.85546875" customWidth="1"/>
    <col min="13" max="13" width="0.85546875" customWidth="1"/>
    <col min="15" max="15" width="8.28515625" customWidth="1"/>
    <col min="18" max="18" width="11" customWidth="1"/>
    <col min="19" max="19" width="7.5703125" customWidth="1"/>
  </cols>
  <sheetData>
    <row r="1" spans="1:20" x14ac:dyDescent="0.25">
      <c r="K1" s="2"/>
      <c r="L1" s="2"/>
      <c r="M1" s="2"/>
      <c r="N1" s="2"/>
      <c r="P1" s="7"/>
      <c r="Q1" s="7"/>
      <c r="R1" s="7"/>
      <c r="S1" s="2" t="str">
        <f>General!A4</f>
        <v>Spreadsheets for Environmental Footprint Analysis (SEFA) Version 3.0, November 2019</v>
      </c>
    </row>
    <row r="2" spans="1:20" x14ac:dyDescent="0.25">
      <c r="A2" s="685" t="s">
        <v>486</v>
      </c>
      <c r="B2" s="685"/>
      <c r="C2" s="685"/>
      <c r="D2" s="685"/>
      <c r="E2" s="328"/>
      <c r="F2" s="328"/>
      <c r="K2" s="2"/>
      <c r="L2" s="2"/>
      <c r="M2" s="2"/>
      <c r="N2" s="2"/>
      <c r="P2" s="7"/>
      <c r="Q2" s="7"/>
      <c r="R2" s="7"/>
      <c r="S2" s="2" t="e">
        <f ca="1">CONCATENATE(General!$A3," - ", General!$A6)</f>
        <v>#REF!</v>
      </c>
    </row>
    <row r="3" spans="1:20" ht="9.75" customHeight="1" x14ac:dyDescent="0.25">
      <c r="P3" s="7"/>
      <c r="Q3" s="7"/>
      <c r="R3" s="7"/>
      <c r="S3" s="7"/>
    </row>
    <row r="4" spans="1:20" ht="14.45" customHeight="1" x14ac:dyDescent="0.25">
      <c r="A4" s="687" t="s">
        <v>305</v>
      </c>
      <c r="B4" s="687" t="s">
        <v>6</v>
      </c>
      <c r="C4" s="632" t="s">
        <v>395</v>
      </c>
      <c r="D4" s="654" t="s">
        <v>111</v>
      </c>
      <c r="E4" s="654"/>
      <c r="F4" s="654"/>
      <c r="G4" s="654"/>
      <c r="H4" s="654"/>
      <c r="I4" s="654"/>
      <c r="J4" s="654"/>
      <c r="K4" s="654"/>
      <c r="L4" s="654"/>
      <c r="M4" s="654"/>
      <c r="N4" s="654"/>
      <c r="O4" s="632" t="s">
        <v>141</v>
      </c>
    </row>
    <row r="5" spans="1:20" x14ac:dyDescent="0.25">
      <c r="A5" s="688"/>
      <c r="B5" s="688"/>
      <c r="C5" s="633"/>
      <c r="D5" s="689" t="s">
        <v>110</v>
      </c>
      <c r="E5" s="689"/>
      <c r="F5" s="689"/>
      <c r="G5" s="689"/>
      <c r="H5" s="689"/>
      <c r="I5" s="689"/>
      <c r="J5" s="689"/>
      <c r="K5" s="689"/>
      <c r="L5" s="689"/>
      <c r="M5" s="689"/>
      <c r="N5" s="689"/>
      <c r="O5" s="633"/>
    </row>
    <row r="6" spans="1:20" ht="49.5" thickBot="1" x14ac:dyDescent="0.3">
      <c r="A6" s="688"/>
      <c r="B6" s="688"/>
      <c r="C6" s="633"/>
      <c r="D6" s="155" t="s">
        <v>143</v>
      </c>
      <c r="E6" s="155"/>
      <c r="F6" s="165" t="s">
        <v>240</v>
      </c>
      <c r="G6" s="155"/>
      <c r="H6" s="165" t="s">
        <v>707</v>
      </c>
      <c r="I6" s="155"/>
      <c r="J6" s="165" t="s">
        <v>708</v>
      </c>
      <c r="K6" s="155"/>
      <c r="L6" s="165" t="s">
        <v>709</v>
      </c>
      <c r="M6" s="155"/>
      <c r="N6" s="165" t="s">
        <v>710</v>
      </c>
      <c r="O6" s="633"/>
      <c r="P6" s="684" t="s">
        <v>396</v>
      </c>
      <c r="Q6" s="674"/>
      <c r="R6" s="674"/>
      <c r="S6" s="674"/>
      <c r="T6" s="674"/>
    </row>
    <row r="7" spans="1:20" x14ac:dyDescent="0.25">
      <c r="A7" s="125" t="s">
        <v>387</v>
      </c>
      <c r="B7" s="166" t="s">
        <v>93</v>
      </c>
      <c r="C7" s="167"/>
      <c r="D7" s="168"/>
      <c r="E7" s="169"/>
      <c r="F7" s="110"/>
      <c r="G7" s="207"/>
      <c r="H7" s="110"/>
      <c r="I7" s="207"/>
      <c r="J7" s="110"/>
      <c r="K7" s="207"/>
      <c r="L7" s="110"/>
      <c r="M7" s="207"/>
      <c r="N7" s="110"/>
      <c r="O7" s="147"/>
      <c r="P7" s="682" t="s">
        <v>387</v>
      </c>
      <c r="Q7" s="683"/>
      <c r="R7" s="683"/>
      <c r="S7" s="683"/>
      <c r="T7" s="683"/>
    </row>
    <row r="8" spans="1:20" x14ac:dyDescent="0.25">
      <c r="A8" s="126" t="s">
        <v>388</v>
      </c>
      <c r="B8" s="57" t="s">
        <v>93</v>
      </c>
      <c r="C8" s="170"/>
      <c r="D8" s="171"/>
      <c r="E8" s="64"/>
      <c r="F8" s="68"/>
      <c r="G8" s="208"/>
      <c r="H8" s="68"/>
      <c r="I8" s="208"/>
      <c r="J8" s="68"/>
      <c r="K8" s="208"/>
      <c r="L8" s="68"/>
      <c r="M8" s="208"/>
      <c r="N8" s="68"/>
      <c r="O8" s="148"/>
      <c r="P8" s="682" t="s">
        <v>388</v>
      </c>
      <c r="Q8" s="683"/>
      <c r="R8" s="683"/>
      <c r="S8" s="683"/>
      <c r="T8" s="683"/>
    </row>
    <row r="9" spans="1:20" x14ac:dyDescent="0.25">
      <c r="A9" s="126" t="s">
        <v>389</v>
      </c>
      <c r="B9" s="57" t="s">
        <v>93</v>
      </c>
      <c r="C9" s="170"/>
      <c r="D9" s="171"/>
      <c r="E9" s="64"/>
      <c r="F9" s="68"/>
      <c r="G9" s="208"/>
      <c r="H9" s="68"/>
      <c r="I9" s="208"/>
      <c r="J9" s="68"/>
      <c r="K9" s="208"/>
      <c r="L9" s="68"/>
      <c r="M9" s="208"/>
      <c r="N9" s="68"/>
      <c r="O9" s="148"/>
      <c r="P9" s="682" t="s">
        <v>389</v>
      </c>
      <c r="Q9" s="683"/>
      <c r="R9" s="683"/>
      <c r="S9" s="683"/>
      <c r="T9" s="683"/>
    </row>
    <row r="10" spans="1:20" x14ac:dyDescent="0.25">
      <c r="A10" s="369" t="s">
        <v>685</v>
      </c>
      <c r="B10" s="57" t="s">
        <v>138</v>
      </c>
      <c r="C10" s="364"/>
      <c r="D10" s="365"/>
      <c r="E10" s="155"/>
      <c r="F10" s="366"/>
      <c r="G10" s="367"/>
      <c r="H10" s="366"/>
      <c r="I10" s="367"/>
      <c r="J10" s="366"/>
      <c r="K10" s="367"/>
      <c r="L10" s="366"/>
      <c r="M10" s="367"/>
      <c r="N10" s="366"/>
      <c r="O10" s="368"/>
      <c r="P10" s="356" t="s">
        <v>685</v>
      </c>
      <c r="Q10" s="357"/>
      <c r="R10" s="357"/>
      <c r="S10" s="357"/>
      <c r="T10" s="357"/>
    </row>
    <row r="11" spans="1:20" x14ac:dyDescent="0.25">
      <c r="A11" s="369" t="s">
        <v>684</v>
      </c>
      <c r="B11" s="57" t="s">
        <v>93</v>
      </c>
      <c r="C11" s="170"/>
      <c r="D11" s="171"/>
      <c r="E11" s="64"/>
      <c r="F11" s="68"/>
      <c r="G11" s="208"/>
      <c r="H11" s="68"/>
      <c r="I11" s="208"/>
      <c r="J11" s="68"/>
      <c r="K11" s="208"/>
      <c r="L11" s="68"/>
      <c r="M11" s="208"/>
      <c r="N11" s="68"/>
      <c r="O11" s="148"/>
      <c r="P11" s="445" t="s">
        <v>684</v>
      </c>
      <c r="Q11" s="446"/>
      <c r="R11" s="446"/>
      <c r="S11" s="446"/>
      <c r="T11" s="446"/>
    </row>
    <row r="12" spans="1:20" ht="15.75" thickBot="1" x14ac:dyDescent="0.3">
      <c r="A12" s="369" t="s">
        <v>390</v>
      </c>
      <c r="B12" s="176" t="s">
        <v>138</v>
      </c>
      <c r="C12" s="370"/>
      <c r="D12" s="371"/>
      <c r="E12" s="355"/>
      <c r="F12" s="372"/>
      <c r="G12" s="373"/>
      <c r="H12" s="372"/>
      <c r="I12" s="373"/>
      <c r="J12" s="372"/>
      <c r="K12" s="373"/>
      <c r="L12" s="372"/>
      <c r="M12" s="373"/>
      <c r="N12" s="372"/>
      <c r="O12" s="374"/>
      <c r="P12" s="356" t="s">
        <v>390</v>
      </c>
      <c r="Q12" s="357"/>
      <c r="R12" s="357"/>
      <c r="S12" s="357"/>
      <c r="T12" s="357"/>
    </row>
    <row r="13" spans="1:20" x14ac:dyDescent="0.25">
      <c r="A13" s="125" t="s">
        <v>391</v>
      </c>
      <c r="B13" s="166" t="s">
        <v>93</v>
      </c>
      <c r="C13" s="167"/>
      <c r="D13" s="168"/>
      <c r="E13" s="169"/>
      <c r="F13" s="110"/>
      <c r="G13" s="207"/>
      <c r="H13" s="110"/>
      <c r="I13" s="207"/>
      <c r="J13" s="110"/>
      <c r="K13" s="207"/>
      <c r="L13" s="110"/>
      <c r="M13" s="207"/>
      <c r="N13" s="110"/>
      <c r="O13" s="147"/>
      <c r="P13" s="682" t="s">
        <v>391</v>
      </c>
      <c r="Q13" s="683"/>
      <c r="R13" s="683"/>
      <c r="S13" s="683"/>
      <c r="T13" s="683"/>
    </row>
    <row r="14" spans="1:20" x14ac:dyDescent="0.25">
      <c r="A14" s="126" t="s">
        <v>392</v>
      </c>
      <c r="B14" s="57" t="s">
        <v>93</v>
      </c>
      <c r="C14" s="170"/>
      <c r="D14" s="171"/>
      <c r="E14" s="64"/>
      <c r="F14" s="68"/>
      <c r="G14" s="208"/>
      <c r="H14" s="68"/>
      <c r="I14" s="208"/>
      <c r="J14" s="68"/>
      <c r="K14" s="208"/>
      <c r="L14" s="68"/>
      <c r="M14" s="208"/>
      <c r="N14" s="68"/>
      <c r="O14" s="148"/>
      <c r="P14" s="682" t="s">
        <v>392</v>
      </c>
      <c r="Q14" s="683"/>
      <c r="R14" s="683"/>
      <c r="S14" s="683"/>
      <c r="T14" s="683"/>
    </row>
    <row r="15" spans="1:20" x14ac:dyDescent="0.25">
      <c r="A15" s="126" t="s">
        <v>393</v>
      </c>
      <c r="B15" s="57" t="s">
        <v>93</v>
      </c>
      <c r="C15" s="170"/>
      <c r="D15" s="171"/>
      <c r="E15" s="64"/>
      <c r="F15" s="68"/>
      <c r="G15" s="208"/>
      <c r="H15" s="68"/>
      <c r="I15" s="208"/>
      <c r="J15" s="68"/>
      <c r="K15" s="208"/>
      <c r="L15" s="68"/>
      <c r="M15" s="208"/>
      <c r="N15" s="68"/>
      <c r="O15" s="148"/>
      <c r="P15" s="682" t="s">
        <v>393</v>
      </c>
      <c r="Q15" s="683"/>
      <c r="R15" s="683"/>
      <c r="S15" s="683"/>
      <c r="T15" s="683"/>
    </row>
    <row r="16" spans="1:20" ht="15.75" thickBot="1" x14ac:dyDescent="0.3">
      <c r="A16" s="127" t="s">
        <v>394</v>
      </c>
      <c r="B16" s="172" t="s">
        <v>138</v>
      </c>
      <c r="C16" s="173"/>
      <c r="D16" s="174"/>
      <c r="E16" s="175"/>
      <c r="F16" s="111"/>
      <c r="G16" s="209"/>
      <c r="H16" s="111"/>
      <c r="I16" s="209"/>
      <c r="J16" s="111"/>
      <c r="K16" s="209"/>
      <c r="L16" s="111"/>
      <c r="M16" s="209"/>
      <c r="N16" s="111"/>
      <c r="O16" s="149"/>
      <c r="P16" s="682" t="s">
        <v>394</v>
      </c>
      <c r="Q16" s="683"/>
      <c r="R16" s="683"/>
      <c r="S16" s="683"/>
      <c r="T16" s="683"/>
    </row>
    <row r="17" spans="1:20" ht="15" customHeight="1" thickBot="1" x14ac:dyDescent="0.3">
      <c r="A17" s="686" t="s">
        <v>865</v>
      </c>
      <c r="B17" s="686"/>
      <c r="C17" s="686"/>
      <c r="D17" s="686"/>
      <c r="E17" s="686"/>
      <c r="F17" s="686"/>
      <c r="G17" s="686"/>
      <c r="H17" s="686"/>
      <c r="I17" s="686"/>
      <c r="J17" s="686"/>
      <c r="K17" s="686"/>
      <c r="L17" s="686"/>
      <c r="M17" s="686"/>
      <c r="N17" s="686"/>
      <c r="O17" s="686"/>
      <c r="P17" s="686"/>
      <c r="Q17" s="308"/>
      <c r="R17" s="7"/>
      <c r="S17" s="7"/>
      <c r="T17" s="7"/>
    </row>
    <row r="18" spans="1:20" x14ac:dyDescent="0.25">
      <c r="A18" s="112" t="s">
        <v>400</v>
      </c>
      <c r="B18" s="20" t="s">
        <v>140</v>
      </c>
      <c r="C18" s="20" t="s">
        <v>140</v>
      </c>
      <c r="D18" s="103"/>
      <c r="E18" s="204"/>
      <c r="F18" s="103"/>
      <c r="G18" s="204"/>
      <c r="H18" s="103"/>
      <c r="I18" s="204"/>
      <c r="J18" s="103"/>
      <c r="K18" s="204"/>
      <c r="L18" s="103"/>
      <c r="M18" s="204"/>
      <c r="N18" s="103"/>
      <c r="O18" s="105"/>
      <c r="P18" s="672" t="s">
        <v>400</v>
      </c>
      <c r="Q18" s="673"/>
      <c r="R18" s="673"/>
      <c r="S18" s="7"/>
      <c r="T18" s="7"/>
    </row>
    <row r="19" spans="1:20" x14ac:dyDescent="0.25">
      <c r="A19" s="113" t="s">
        <v>401</v>
      </c>
      <c r="B19" s="20" t="s">
        <v>140</v>
      </c>
      <c r="C19" s="20" t="s">
        <v>140</v>
      </c>
      <c r="D19" s="20"/>
      <c r="E19" s="9"/>
      <c r="F19" s="20"/>
      <c r="G19" s="9"/>
      <c r="H19" s="20"/>
      <c r="I19" s="9"/>
      <c r="J19" s="20"/>
      <c r="K19" s="9"/>
      <c r="L19" s="20"/>
      <c r="M19" s="9"/>
      <c r="N19" s="20"/>
      <c r="O19" s="106"/>
      <c r="P19" s="672" t="s">
        <v>401</v>
      </c>
      <c r="Q19" s="673"/>
      <c r="R19" s="673"/>
      <c r="S19" s="307"/>
      <c r="T19" s="7"/>
    </row>
    <row r="20" spans="1:20" x14ac:dyDescent="0.25">
      <c r="A20" s="113" t="s">
        <v>402</v>
      </c>
      <c r="B20" s="20" t="s">
        <v>140</v>
      </c>
      <c r="C20" s="20" t="s">
        <v>140</v>
      </c>
      <c r="D20" s="20"/>
      <c r="E20" s="9"/>
      <c r="F20" s="20"/>
      <c r="G20" s="9"/>
      <c r="H20" s="20"/>
      <c r="I20" s="9"/>
      <c r="J20" s="20"/>
      <c r="K20" s="9"/>
      <c r="L20" s="20"/>
      <c r="M20" s="9"/>
      <c r="N20" s="20"/>
      <c r="O20" s="106"/>
      <c r="P20" s="672" t="s">
        <v>402</v>
      </c>
      <c r="Q20" s="673"/>
      <c r="R20" s="673"/>
      <c r="S20" s="307"/>
      <c r="T20" s="7"/>
    </row>
    <row r="21" spans="1:20" x14ac:dyDescent="0.25">
      <c r="A21" s="113" t="s">
        <v>403</v>
      </c>
      <c r="B21" s="20" t="s">
        <v>140</v>
      </c>
      <c r="C21" s="20" t="s">
        <v>140</v>
      </c>
      <c r="D21" s="20"/>
      <c r="E21" s="9"/>
      <c r="F21" s="20"/>
      <c r="G21" s="9"/>
      <c r="H21" s="20"/>
      <c r="I21" s="9"/>
      <c r="J21" s="20"/>
      <c r="K21" s="9"/>
      <c r="L21" s="20"/>
      <c r="M21" s="9"/>
      <c r="N21" s="20"/>
      <c r="O21" s="106"/>
      <c r="P21" s="672" t="s">
        <v>403</v>
      </c>
      <c r="Q21" s="673"/>
      <c r="R21" s="673"/>
      <c r="S21" s="307"/>
      <c r="T21" s="7"/>
    </row>
    <row r="22" spans="1:20" x14ac:dyDescent="0.25">
      <c r="A22" s="113" t="s">
        <v>404</v>
      </c>
      <c r="B22" s="20" t="s">
        <v>140</v>
      </c>
      <c r="C22" s="20" t="s">
        <v>140</v>
      </c>
      <c r="D22" s="20"/>
      <c r="E22" s="9"/>
      <c r="F22" s="20"/>
      <c r="G22" s="9"/>
      <c r="H22" s="20"/>
      <c r="I22" s="9"/>
      <c r="J22" s="20"/>
      <c r="K22" s="9"/>
      <c r="L22" s="20"/>
      <c r="M22" s="9"/>
      <c r="N22" s="20"/>
      <c r="O22" s="106"/>
      <c r="P22" s="672" t="s">
        <v>404</v>
      </c>
      <c r="Q22" s="673"/>
      <c r="R22" s="673"/>
      <c r="S22" s="307"/>
      <c r="T22" s="7"/>
    </row>
    <row r="23" spans="1:20" x14ac:dyDescent="0.25">
      <c r="A23" s="113" t="s">
        <v>405</v>
      </c>
      <c r="B23" s="20" t="s">
        <v>140</v>
      </c>
      <c r="C23" s="20" t="s">
        <v>140</v>
      </c>
      <c r="D23" s="20"/>
      <c r="E23" s="9"/>
      <c r="F23" s="20"/>
      <c r="G23" s="9"/>
      <c r="H23" s="20"/>
      <c r="I23" s="9"/>
      <c r="J23" s="20"/>
      <c r="K23" s="9"/>
      <c r="L23" s="20"/>
      <c r="M23" s="9"/>
      <c r="N23" s="20"/>
      <c r="O23" s="106"/>
      <c r="P23" s="672" t="s">
        <v>405</v>
      </c>
      <c r="Q23" s="673"/>
      <c r="R23" s="673"/>
      <c r="S23" s="307"/>
      <c r="T23" s="7"/>
    </row>
    <row r="24" spans="1:20" x14ac:dyDescent="0.25">
      <c r="A24" s="113" t="s">
        <v>406</v>
      </c>
      <c r="B24" s="20" t="s">
        <v>140</v>
      </c>
      <c r="C24" s="20" t="s">
        <v>140</v>
      </c>
      <c r="D24" s="20"/>
      <c r="E24" s="9"/>
      <c r="F24" s="20"/>
      <c r="G24" s="9"/>
      <c r="H24" s="20"/>
      <c r="I24" s="9"/>
      <c r="J24" s="20"/>
      <c r="K24" s="9"/>
      <c r="L24" s="20"/>
      <c r="M24" s="9"/>
      <c r="N24" s="20"/>
      <c r="O24" s="106"/>
      <c r="P24" s="672" t="s">
        <v>406</v>
      </c>
      <c r="Q24" s="673"/>
      <c r="R24" s="673"/>
      <c r="S24" s="307"/>
      <c r="T24" s="7"/>
    </row>
    <row r="25" spans="1:20" x14ac:dyDescent="0.25">
      <c r="A25" s="113" t="s">
        <v>407</v>
      </c>
      <c r="B25" s="20" t="s">
        <v>140</v>
      </c>
      <c r="C25" s="20" t="s">
        <v>140</v>
      </c>
      <c r="D25" s="20"/>
      <c r="E25" s="9"/>
      <c r="F25" s="20"/>
      <c r="G25" s="9"/>
      <c r="H25" s="20"/>
      <c r="I25" s="9"/>
      <c r="J25" s="20"/>
      <c r="K25" s="9"/>
      <c r="L25" s="20"/>
      <c r="M25" s="9"/>
      <c r="N25" s="20"/>
      <c r="O25" s="106"/>
      <c r="P25" s="672" t="s">
        <v>407</v>
      </c>
      <c r="Q25" s="673"/>
      <c r="R25" s="673"/>
      <c r="S25" s="307"/>
      <c r="T25" s="7"/>
    </row>
    <row r="26" spans="1:20" x14ac:dyDescent="0.25">
      <c r="A26" s="113" t="s">
        <v>408</v>
      </c>
      <c r="B26" s="20" t="s">
        <v>140</v>
      </c>
      <c r="C26" s="20" t="s">
        <v>140</v>
      </c>
      <c r="D26" s="20"/>
      <c r="E26" s="9"/>
      <c r="F26" s="20"/>
      <c r="G26" s="9"/>
      <c r="H26" s="20"/>
      <c r="I26" s="9"/>
      <c r="J26" s="20"/>
      <c r="K26" s="9"/>
      <c r="L26" s="20"/>
      <c r="M26" s="9"/>
      <c r="N26" s="20"/>
      <c r="O26" s="106"/>
      <c r="P26" s="672" t="s">
        <v>408</v>
      </c>
      <c r="Q26" s="673"/>
      <c r="R26" s="673"/>
      <c r="S26" s="307"/>
      <c r="T26" s="7"/>
    </row>
    <row r="27" spans="1:20" x14ac:dyDescent="0.25">
      <c r="A27" s="113" t="s">
        <v>409</v>
      </c>
      <c r="B27" s="20" t="s">
        <v>140</v>
      </c>
      <c r="C27" s="20" t="s">
        <v>140</v>
      </c>
      <c r="D27" s="20"/>
      <c r="E27" s="9"/>
      <c r="F27" s="20"/>
      <c r="G27" s="9"/>
      <c r="H27" s="20"/>
      <c r="I27" s="9"/>
      <c r="J27" s="20"/>
      <c r="K27" s="9"/>
      <c r="L27" s="20"/>
      <c r="M27" s="9"/>
      <c r="N27" s="20"/>
      <c r="O27" s="106"/>
      <c r="P27" s="672" t="s">
        <v>409</v>
      </c>
      <c r="Q27" s="673"/>
      <c r="R27" s="673"/>
      <c r="S27" s="307"/>
      <c r="T27" s="7"/>
    </row>
    <row r="28" spans="1:20" x14ac:dyDescent="0.25">
      <c r="A28" s="113" t="s">
        <v>410</v>
      </c>
      <c r="B28" s="20" t="s">
        <v>140</v>
      </c>
      <c r="C28" s="20" t="s">
        <v>140</v>
      </c>
      <c r="D28" s="20"/>
      <c r="E28" s="9"/>
      <c r="F28" s="20"/>
      <c r="G28" s="9"/>
      <c r="H28" s="20"/>
      <c r="I28" s="9"/>
      <c r="J28" s="20"/>
      <c r="K28" s="9"/>
      <c r="L28" s="20"/>
      <c r="M28" s="9"/>
      <c r="N28" s="20"/>
      <c r="O28" s="106"/>
      <c r="P28" s="672" t="s">
        <v>410</v>
      </c>
      <c r="Q28" s="673"/>
      <c r="R28" s="673"/>
      <c r="S28" s="307"/>
      <c r="T28" s="7"/>
    </row>
    <row r="29" spans="1:20" x14ac:dyDescent="0.25">
      <c r="A29" s="113" t="s">
        <v>411</v>
      </c>
      <c r="B29" s="20" t="s">
        <v>140</v>
      </c>
      <c r="C29" s="20" t="s">
        <v>140</v>
      </c>
      <c r="D29" s="20"/>
      <c r="E29" s="9"/>
      <c r="F29" s="20"/>
      <c r="G29" s="9"/>
      <c r="H29" s="20"/>
      <c r="I29" s="9"/>
      <c r="J29" s="20"/>
      <c r="K29" s="9"/>
      <c r="L29" s="20"/>
      <c r="M29" s="9"/>
      <c r="N29" s="20"/>
      <c r="O29" s="106"/>
      <c r="P29" s="672" t="s">
        <v>411</v>
      </c>
      <c r="Q29" s="673"/>
      <c r="R29" s="673"/>
      <c r="S29" s="307"/>
      <c r="T29" s="7"/>
    </row>
    <row r="30" spans="1:20" x14ac:dyDescent="0.25">
      <c r="A30" s="113" t="s">
        <v>412</v>
      </c>
      <c r="B30" s="20" t="s">
        <v>140</v>
      </c>
      <c r="C30" s="20" t="s">
        <v>140</v>
      </c>
      <c r="D30" s="20"/>
      <c r="E30" s="9"/>
      <c r="F30" s="20"/>
      <c r="G30" s="9"/>
      <c r="H30" s="20"/>
      <c r="I30" s="9"/>
      <c r="J30" s="20"/>
      <c r="K30" s="9"/>
      <c r="L30" s="20"/>
      <c r="M30" s="9"/>
      <c r="N30" s="20"/>
      <c r="O30" s="106"/>
      <c r="P30" s="672" t="s">
        <v>412</v>
      </c>
      <c r="Q30" s="673"/>
      <c r="R30" s="673"/>
      <c r="S30" s="307"/>
      <c r="T30" s="7"/>
    </row>
    <row r="31" spans="1:20" x14ac:dyDescent="0.25">
      <c r="A31" s="113" t="s">
        <v>413</v>
      </c>
      <c r="B31" s="20" t="s">
        <v>140</v>
      </c>
      <c r="C31" s="20" t="s">
        <v>140</v>
      </c>
      <c r="D31" s="20"/>
      <c r="E31" s="9"/>
      <c r="F31" s="20"/>
      <c r="G31" s="9"/>
      <c r="H31" s="20"/>
      <c r="I31" s="9"/>
      <c r="J31" s="20"/>
      <c r="K31" s="9"/>
      <c r="L31" s="20"/>
      <c r="M31" s="9"/>
      <c r="N31" s="20"/>
      <c r="O31" s="106"/>
      <c r="P31" s="672" t="s">
        <v>413</v>
      </c>
      <c r="Q31" s="673"/>
      <c r="R31" s="673"/>
      <c r="S31" s="307"/>
      <c r="T31" s="7"/>
    </row>
    <row r="32" spans="1:20" x14ac:dyDescent="0.25">
      <c r="A32" s="113" t="s">
        <v>414</v>
      </c>
      <c r="B32" s="20" t="s">
        <v>140</v>
      </c>
      <c r="C32" s="20" t="s">
        <v>140</v>
      </c>
      <c r="D32" s="20"/>
      <c r="E32" s="9"/>
      <c r="F32" s="20"/>
      <c r="G32" s="9"/>
      <c r="H32" s="20"/>
      <c r="I32" s="9"/>
      <c r="J32" s="20"/>
      <c r="K32" s="9"/>
      <c r="L32" s="20"/>
      <c r="M32" s="9"/>
      <c r="N32" s="20"/>
      <c r="O32" s="106"/>
      <c r="P32" s="672" t="s">
        <v>414</v>
      </c>
      <c r="Q32" s="673"/>
      <c r="R32" s="673"/>
      <c r="S32" s="307"/>
      <c r="T32" s="7"/>
    </row>
    <row r="33" spans="1:20" x14ac:dyDescent="0.25">
      <c r="A33" s="113" t="s">
        <v>415</v>
      </c>
      <c r="B33" s="20" t="s">
        <v>140</v>
      </c>
      <c r="C33" s="20" t="s">
        <v>140</v>
      </c>
      <c r="D33" s="20"/>
      <c r="E33" s="9"/>
      <c r="F33" s="20"/>
      <c r="G33" s="9"/>
      <c r="H33" s="20"/>
      <c r="I33" s="9"/>
      <c r="J33" s="20"/>
      <c r="K33" s="9"/>
      <c r="L33" s="20"/>
      <c r="M33" s="9"/>
      <c r="N33" s="20"/>
      <c r="O33" s="106"/>
      <c r="P33" s="672" t="s">
        <v>415</v>
      </c>
      <c r="Q33" s="673"/>
      <c r="R33" s="673"/>
      <c r="S33" s="307"/>
      <c r="T33" s="7"/>
    </row>
    <row r="34" spans="1:20" x14ac:dyDescent="0.25">
      <c r="A34" s="113" t="s">
        <v>416</v>
      </c>
      <c r="B34" s="20" t="s">
        <v>140</v>
      </c>
      <c r="C34" s="20" t="s">
        <v>140</v>
      </c>
      <c r="D34" s="20"/>
      <c r="E34" s="9"/>
      <c r="F34" s="20"/>
      <c r="G34" s="9"/>
      <c r="H34" s="20"/>
      <c r="I34" s="9"/>
      <c r="J34" s="20"/>
      <c r="K34" s="9"/>
      <c r="L34" s="20"/>
      <c r="M34" s="9"/>
      <c r="N34" s="20"/>
      <c r="O34" s="106"/>
      <c r="P34" s="672" t="s">
        <v>416</v>
      </c>
      <c r="Q34" s="673"/>
      <c r="R34" s="673"/>
      <c r="S34" s="307"/>
      <c r="T34" s="7"/>
    </row>
    <row r="35" spans="1:20" x14ac:dyDescent="0.25">
      <c r="A35" s="113" t="s">
        <v>417</v>
      </c>
      <c r="B35" s="20" t="s">
        <v>140</v>
      </c>
      <c r="C35" s="20" t="s">
        <v>140</v>
      </c>
      <c r="D35" s="20"/>
      <c r="E35" s="9"/>
      <c r="F35" s="20"/>
      <c r="G35" s="9"/>
      <c r="H35" s="20"/>
      <c r="I35" s="9"/>
      <c r="J35" s="20"/>
      <c r="K35" s="9"/>
      <c r="L35" s="20"/>
      <c r="M35" s="9"/>
      <c r="N35" s="20"/>
      <c r="O35" s="106"/>
      <c r="P35" s="672" t="s">
        <v>417</v>
      </c>
      <c r="Q35" s="673"/>
      <c r="R35" s="673"/>
      <c r="S35" s="307"/>
      <c r="T35" s="7"/>
    </row>
    <row r="36" spans="1:20" x14ac:dyDescent="0.25">
      <c r="A36" s="113" t="s">
        <v>418</v>
      </c>
      <c r="B36" s="20" t="s">
        <v>140</v>
      </c>
      <c r="C36" s="20" t="s">
        <v>140</v>
      </c>
      <c r="D36" s="20"/>
      <c r="E36" s="9"/>
      <c r="F36" s="20"/>
      <c r="G36" s="9"/>
      <c r="H36" s="20"/>
      <c r="I36" s="9"/>
      <c r="J36" s="20"/>
      <c r="K36" s="9"/>
      <c r="L36" s="20"/>
      <c r="M36" s="9"/>
      <c r="N36" s="20"/>
      <c r="O36" s="106"/>
      <c r="P36" s="672" t="s">
        <v>418</v>
      </c>
      <c r="Q36" s="673"/>
      <c r="R36" s="673"/>
      <c r="S36" s="307"/>
      <c r="T36" s="7"/>
    </row>
    <row r="37" spans="1:20" ht="15.75" thickBot="1" x14ac:dyDescent="0.3">
      <c r="A37" s="114" t="s">
        <v>419</v>
      </c>
      <c r="B37" s="107" t="s">
        <v>140</v>
      </c>
      <c r="C37" s="107" t="s">
        <v>140</v>
      </c>
      <c r="D37" s="107"/>
      <c r="E37" s="205"/>
      <c r="F37" s="107"/>
      <c r="G37" s="205"/>
      <c r="H37" s="107"/>
      <c r="I37" s="205"/>
      <c r="J37" s="107"/>
      <c r="K37" s="205"/>
      <c r="L37" s="107"/>
      <c r="M37" s="205"/>
      <c r="N37" s="107"/>
      <c r="O37" s="109"/>
      <c r="P37" s="672" t="s">
        <v>419</v>
      </c>
      <c r="Q37" s="673"/>
      <c r="R37" s="673"/>
      <c r="S37" s="7"/>
      <c r="T37" s="7"/>
    </row>
    <row r="38" spans="1:20" ht="15.75" thickBot="1" x14ac:dyDescent="0.3">
      <c r="A38" s="448"/>
      <c r="B38" s="447"/>
      <c r="C38" s="449"/>
      <c r="D38" s="449"/>
      <c r="E38" s="449"/>
      <c r="F38" s="449"/>
      <c r="G38" s="447"/>
      <c r="H38" s="449"/>
      <c r="I38" s="447"/>
      <c r="J38" s="449"/>
      <c r="K38" s="449"/>
      <c r="L38" s="449"/>
      <c r="M38" s="447"/>
      <c r="N38" s="447"/>
      <c r="O38" s="449"/>
    </row>
    <row r="39" spans="1:20" ht="39" customHeight="1" thickBot="1" x14ac:dyDescent="0.3">
      <c r="A39" s="300" t="s">
        <v>109</v>
      </c>
      <c r="B39" s="301" t="s">
        <v>6</v>
      </c>
      <c r="C39" s="302" t="s">
        <v>395</v>
      </c>
      <c r="D39" s="302" t="s">
        <v>143</v>
      </c>
      <c r="E39" s="302"/>
      <c r="F39" s="303" t="s">
        <v>186</v>
      </c>
      <c r="G39" s="302"/>
      <c r="H39" s="303" t="s">
        <v>707</v>
      </c>
      <c r="I39" s="450"/>
      <c r="J39" s="303" t="s">
        <v>708</v>
      </c>
      <c r="K39" s="355"/>
      <c r="L39" s="303" t="s">
        <v>709</v>
      </c>
      <c r="M39" s="450"/>
      <c r="N39" s="303" t="s">
        <v>710</v>
      </c>
      <c r="O39" s="304" t="s">
        <v>141</v>
      </c>
      <c r="P39" s="674" t="s">
        <v>396</v>
      </c>
      <c r="Q39" s="674"/>
      <c r="R39" s="674"/>
      <c r="S39" s="674"/>
      <c r="T39" s="674"/>
    </row>
    <row r="40" spans="1:20" ht="14.45" customHeight="1" x14ac:dyDescent="0.25">
      <c r="A40" s="128" t="s">
        <v>420</v>
      </c>
      <c r="B40" s="129" t="s">
        <v>140</v>
      </c>
      <c r="C40" s="468" t="s">
        <v>140</v>
      </c>
      <c r="D40" s="129"/>
      <c r="E40" s="206"/>
      <c r="F40" s="129"/>
      <c r="G40" s="206"/>
      <c r="H40" s="129"/>
      <c r="I40" s="206"/>
      <c r="J40" s="129"/>
      <c r="K40" s="206"/>
      <c r="L40" s="129"/>
      <c r="M40" s="206"/>
      <c r="N40" s="129"/>
      <c r="O40" s="151"/>
      <c r="P40" s="672" t="s">
        <v>420</v>
      </c>
      <c r="Q40" s="673"/>
      <c r="R40" s="673"/>
      <c r="S40" s="673"/>
      <c r="T40" s="34"/>
    </row>
    <row r="41" spans="1:20" x14ac:dyDescent="0.25">
      <c r="A41" s="113" t="s">
        <v>421</v>
      </c>
      <c r="B41" s="20" t="s">
        <v>140</v>
      </c>
      <c r="C41" s="469" t="s">
        <v>140</v>
      </c>
      <c r="D41" s="20"/>
      <c r="E41" s="9"/>
      <c r="F41" s="20"/>
      <c r="G41" s="9"/>
      <c r="H41" s="20"/>
      <c r="I41" s="9"/>
      <c r="J41" s="20"/>
      <c r="K41" s="9"/>
      <c r="L41" s="20"/>
      <c r="M41" s="9"/>
      <c r="N41" s="20"/>
      <c r="O41" s="106"/>
      <c r="P41" s="672" t="s">
        <v>421</v>
      </c>
      <c r="Q41" s="673"/>
      <c r="R41" s="673"/>
      <c r="S41" s="673"/>
      <c r="T41" s="34"/>
    </row>
    <row r="42" spans="1:20" ht="15.75" thickBot="1" x14ac:dyDescent="0.3">
      <c r="A42" s="114" t="s">
        <v>422</v>
      </c>
      <c r="B42" s="107" t="s">
        <v>140</v>
      </c>
      <c r="C42" s="470" t="s">
        <v>140</v>
      </c>
      <c r="D42" s="107"/>
      <c r="E42" s="205"/>
      <c r="F42" s="107"/>
      <c r="G42" s="205"/>
      <c r="H42" s="107"/>
      <c r="I42" s="205"/>
      <c r="J42" s="107"/>
      <c r="K42" s="205"/>
      <c r="L42" s="107"/>
      <c r="M42" s="205"/>
      <c r="N42" s="107"/>
      <c r="O42" s="109"/>
      <c r="P42" s="672" t="s">
        <v>422</v>
      </c>
      <c r="Q42" s="673"/>
      <c r="R42" s="673"/>
      <c r="S42" s="673"/>
      <c r="T42" s="34"/>
    </row>
    <row r="43" spans="1:20" ht="14.45" customHeight="1" x14ac:dyDescent="0.25">
      <c r="A43" s="113" t="s">
        <v>423</v>
      </c>
      <c r="B43" s="103" t="s">
        <v>140</v>
      </c>
      <c r="C43" s="471" t="s">
        <v>140</v>
      </c>
      <c r="D43" s="103"/>
      <c r="E43" s="204"/>
      <c r="F43" s="103"/>
      <c r="G43" s="204"/>
      <c r="H43" s="103"/>
      <c r="I43" s="204"/>
      <c r="J43" s="103"/>
      <c r="K43" s="204"/>
      <c r="L43" s="103"/>
      <c r="M43" s="204"/>
      <c r="N43" s="103"/>
      <c r="O43" s="105"/>
      <c r="P43" s="672" t="s">
        <v>423</v>
      </c>
      <c r="Q43" s="673"/>
      <c r="R43" s="673"/>
      <c r="S43" s="673"/>
      <c r="T43" s="34"/>
    </row>
    <row r="44" spans="1:20" x14ac:dyDescent="0.25">
      <c r="A44" s="113" t="s">
        <v>424</v>
      </c>
      <c r="B44" s="20" t="s">
        <v>140</v>
      </c>
      <c r="C44" s="469" t="s">
        <v>140</v>
      </c>
      <c r="D44" s="20"/>
      <c r="E44" s="9"/>
      <c r="F44" s="20"/>
      <c r="G44" s="9"/>
      <c r="H44" s="20"/>
      <c r="I44" s="9"/>
      <c r="J44" s="20"/>
      <c r="K44" s="9"/>
      <c r="L44" s="20"/>
      <c r="M44" s="9"/>
      <c r="N44" s="20"/>
      <c r="O44" s="106"/>
      <c r="P44" s="672" t="s">
        <v>424</v>
      </c>
      <c r="Q44" s="673"/>
      <c r="R44" s="673"/>
      <c r="S44" s="673"/>
      <c r="T44" s="34"/>
    </row>
    <row r="45" spans="1:20" ht="15.75" thickBot="1" x14ac:dyDescent="0.3">
      <c r="A45" s="114" t="s">
        <v>425</v>
      </c>
      <c r="B45" s="107" t="s">
        <v>140</v>
      </c>
      <c r="C45" s="470" t="s">
        <v>140</v>
      </c>
      <c r="D45" s="107"/>
      <c r="E45" s="205"/>
      <c r="F45" s="107"/>
      <c r="G45" s="205"/>
      <c r="H45" s="107"/>
      <c r="I45" s="205"/>
      <c r="J45" s="107"/>
      <c r="K45" s="205"/>
      <c r="L45" s="107"/>
      <c r="M45" s="205"/>
      <c r="N45" s="107"/>
      <c r="O45" s="109"/>
      <c r="P45" s="672" t="s">
        <v>425</v>
      </c>
      <c r="Q45" s="673"/>
      <c r="R45" s="673"/>
      <c r="S45" s="673"/>
      <c r="T45" s="34"/>
    </row>
    <row r="46" spans="1:20" ht="14.45" customHeight="1" x14ac:dyDescent="0.25">
      <c r="A46" s="113" t="s">
        <v>426</v>
      </c>
      <c r="B46" s="103" t="s">
        <v>140</v>
      </c>
      <c r="C46" s="471" t="s">
        <v>140</v>
      </c>
      <c r="D46" s="103"/>
      <c r="E46" s="204"/>
      <c r="F46" s="103"/>
      <c r="G46" s="204"/>
      <c r="H46" s="103"/>
      <c r="I46" s="204"/>
      <c r="J46" s="103"/>
      <c r="K46" s="204"/>
      <c r="L46" s="103"/>
      <c r="M46" s="204"/>
      <c r="N46" s="103"/>
      <c r="O46" s="105"/>
      <c r="P46" s="672" t="s">
        <v>426</v>
      </c>
      <c r="Q46" s="673"/>
      <c r="R46" s="673"/>
      <c r="S46" s="673"/>
      <c r="T46" s="673"/>
    </row>
    <row r="47" spans="1:20" ht="13.9" customHeight="1" x14ac:dyDescent="0.25">
      <c r="A47" s="113" t="s">
        <v>427</v>
      </c>
      <c r="B47" s="20" t="s">
        <v>140</v>
      </c>
      <c r="C47" s="469" t="s">
        <v>140</v>
      </c>
      <c r="D47" s="20"/>
      <c r="E47" s="9"/>
      <c r="F47" s="20"/>
      <c r="G47" s="9"/>
      <c r="H47" s="20"/>
      <c r="I47" s="9"/>
      <c r="J47" s="20"/>
      <c r="K47" s="9"/>
      <c r="L47" s="20"/>
      <c r="M47" s="9"/>
      <c r="N47" s="20"/>
      <c r="O47" s="106"/>
      <c r="P47" s="672" t="s">
        <v>427</v>
      </c>
      <c r="Q47" s="673"/>
      <c r="R47" s="673"/>
      <c r="S47" s="673"/>
      <c r="T47" s="673"/>
    </row>
    <row r="48" spans="1:20" ht="15.75" thickBot="1" x14ac:dyDescent="0.3">
      <c r="A48" s="114" t="s">
        <v>428</v>
      </c>
      <c r="B48" s="107" t="s">
        <v>140</v>
      </c>
      <c r="C48" s="470" t="s">
        <v>140</v>
      </c>
      <c r="D48" s="107"/>
      <c r="E48" s="205"/>
      <c r="F48" s="107"/>
      <c r="G48" s="205"/>
      <c r="H48" s="107"/>
      <c r="I48" s="205"/>
      <c r="J48" s="107"/>
      <c r="K48" s="205"/>
      <c r="L48" s="107"/>
      <c r="M48" s="205"/>
      <c r="N48" s="107"/>
      <c r="O48" s="109"/>
      <c r="P48" s="672" t="s">
        <v>428</v>
      </c>
      <c r="Q48" s="673"/>
      <c r="R48" s="673"/>
      <c r="S48" s="673"/>
      <c r="T48" s="673"/>
    </row>
    <row r="49" spans="1:20" ht="14.45" customHeight="1" x14ac:dyDescent="0.25">
      <c r="A49" s="113" t="s">
        <v>429</v>
      </c>
      <c r="B49" s="103" t="s">
        <v>140</v>
      </c>
      <c r="C49" s="471" t="s">
        <v>140</v>
      </c>
      <c r="D49" s="103"/>
      <c r="E49" s="204"/>
      <c r="F49" s="103"/>
      <c r="G49" s="204"/>
      <c r="H49" s="103"/>
      <c r="I49" s="204"/>
      <c r="J49" s="103"/>
      <c r="K49" s="204"/>
      <c r="L49" s="103"/>
      <c r="M49" s="204"/>
      <c r="N49" s="103"/>
      <c r="O49" s="105"/>
      <c r="P49" s="463" t="s">
        <v>429</v>
      </c>
      <c r="Q49" s="464"/>
      <c r="R49" s="464"/>
      <c r="S49" s="464"/>
      <c r="T49" s="309"/>
    </row>
    <row r="50" spans="1:20" ht="13.9" customHeight="1" x14ac:dyDescent="0.25">
      <c r="A50" s="113" t="s">
        <v>430</v>
      </c>
      <c r="B50" s="20" t="s">
        <v>140</v>
      </c>
      <c r="C50" s="469" t="s">
        <v>140</v>
      </c>
      <c r="D50" s="20"/>
      <c r="E50" s="9"/>
      <c r="F50" s="20"/>
      <c r="G50" s="9"/>
      <c r="H50" s="20"/>
      <c r="I50" s="9"/>
      <c r="J50" s="20"/>
      <c r="K50" s="9"/>
      <c r="L50" s="20"/>
      <c r="M50" s="9"/>
      <c r="N50" s="20"/>
      <c r="O50" s="106"/>
      <c r="P50" s="463" t="s">
        <v>430</v>
      </c>
      <c r="Q50" s="464"/>
      <c r="R50" s="464"/>
      <c r="S50" s="464"/>
      <c r="T50" s="309"/>
    </row>
    <row r="51" spans="1:20" ht="15.75" thickBot="1" x14ac:dyDescent="0.3">
      <c r="A51" s="114" t="s">
        <v>431</v>
      </c>
      <c r="B51" s="107" t="s">
        <v>140</v>
      </c>
      <c r="C51" s="470" t="s">
        <v>140</v>
      </c>
      <c r="D51" s="107"/>
      <c r="E51" s="205"/>
      <c r="F51" s="107"/>
      <c r="G51" s="205"/>
      <c r="H51" s="107"/>
      <c r="I51" s="205"/>
      <c r="J51" s="107"/>
      <c r="K51" s="205"/>
      <c r="L51" s="107"/>
      <c r="M51" s="205"/>
      <c r="N51" s="107"/>
      <c r="O51" s="109"/>
      <c r="P51" s="463" t="s">
        <v>431</v>
      </c>
      <c r="Q51" s="464"/>
      <c r="R51" s="464"/>
      <c r="S51" s="464"/>
      <c r="T51" s="309"/>
    </row>
    <row r="52" spans="1:20" ht="15.75" thickBot="1" x14ac:dyDescent="0.3">
      <c r="A52" s="451"/>
      <c r="B52" s="452"/>
      <c r="C52" s="452"/>
      <c r="D52" s="13"/>
      <c r="E52" s="452"/>
      <c r="F52" s="13"/>
      <c r="G52" s="452"/>
      <c r="H52" s="452"/>
      <c r="I52" s="13"/>
      <c r="J52" s="452"/>
      <c r="K52" s="452"/>
      <c r="L52" s="452"/>
      <c r="M52" s="13"/>
      <c r="N52" s="452"/>
      <c r="O52" s="452"/>
      <c r="P52" s="298"/>
      <c r="Q52" s="298"/>
      <c r="R52" s="298"/>
      <c r="S52" s="298"/>
    </row>
    <row r="53" spans="1:20" ht="41.45" customHeight="1" thickBot="1" x14ac:dyDescent="0.3">
      <c r="A53" s="300" t="s">
        <v>109</v>
      </c>
      <c r="B53" s="301" t="s">
        <v>6</v>
      </c>
      <c r="C53" s="302" t="s">
        <v>395</v>
      </c>
      <c r="D53" s="302" t="s">
        <v>143</v>
      </c>
      <c r="E53" s="302"/>
      <c r="F53" s="303" t="s">
        <v>186</v>
      </c>
      <c r="G53" s="302"/>
      <c r="H53" s="302" t="s">
        <v>206</v>
      </c>
      <c r="I53" s="302"/>
      <c r="J53" s="302" t="s">
        <v>207</v>
      </c>
      <c r="K53" s="302"/>
      <c r="L53" s="302" t="s">
        <v>142</v>
      </c>
      <c r="M53" s="302"/>
      <c r="N53" s="302" t="s">
        <v>205</v>
      </c>
      <c r="O53" s="304" t="s">
        <v>141</v>
      </c>
      <c r="P53" s="674" t="s">
        <v>396</v>
      </c>
      <c r="Q53" s="674"/>
      <c r="R53" s="674"/>
      <c r="S53" s="674"/>
      <c r="T53" s="674"/>
    </row>
    <row r="54" spans="1:20" x14ac:dyDescent="0.25">
      <c r="A54" s="131" t="s">
        <v>274</v>
      </c>
      <c r="B54" s="129" t="s">
        <v>140</v>
      </c>
      <c r="C54" s="130"/>
      <c r="D54" s="129"/>
      <c r="E54" s="206"/>
      <c r="F54" s="129"/>
      <c r="G54" s="206"/>
      <c r="H54" s="129"/>
      <c r="I54" s="206"/>
      <c r="J54" s="129"/>
      <c r="K54" s="206"/>
      <c r="L54" s="129"/>
      <c r="M54" s="206"/>
      <c r="N54" s="129"/>
      <c r="O54" s="151"/>
      <c r="P54" s="672" t="s">
        <v>274</v>
      </c>
      <c r="Q54" s="673"/>
      <c r="R54" s="673"/>
      <c r="S54" s="673"/>
      <c r="T54" s="673"/>
    </row>
    <row r="55" spans="1:20" ht="15.75" thickBot="1" x14ac:dyDescent="0.3">
      <c r="A55" s="131" t="s">
        <v>275</v>
      </c>
      <c r="B55" s="132" t="s">
        <v>140</v>
      </c>
      <c r="C55" s="133"/>
      <c r="D55" s="107"/>
      <c r="E55" s="205"/>
      <c r="F55" s="107"/>
      <c r="G55" s="205"/>
      <c r="H55" s="107"/>
      <c r="I55" s="205"/>
      <c r="J55" s="107"/>
      <c r="K55" s="205"/>
      <c r="L55" s="107"/>
      <c r="M55" s="205"/>
      <c r="N55" s="107"/>
      <c r="O55" s="150"/>
      <c r="P55" s="672" t="s">
        <v>275</v>
      </c>
      <c r="Q55" s="673"/>
      <c r="R55" s="673"/>
      <c r="S55" s="673"/>
      <c r="T55" s="673"/>
    </row>
    <row r="56" spans="1:20" x14ac:dyDescent="0.25">
      <c r="A56" s="112" t="s">
        <v>276</v>
      </c>
      <c r="B56" s="103" t="s">
        <v>140</v>
      </c>
      <c r="C56" s="104"/>
      <c r="D56" s="129"/>
      <c r="E56" s="206"/>
      <c r="F56" s="129"/>
      <c r="G56" s="206"/>
      <c r="H56" s="129"/>
      <c r="I56" s="206"/>
      <c r="J56" s="129"/>
      <c r="K56" s="206"/>
      <c r="L56" s="129"/>
      <c r="M56" s="206"/>
      <c r="N56" s="129"/>
      <c r="O56" s="105"/>
      <c r="P56" s="672" t="s">
        <v>276</v>
      </c>
      <c r="Q56" s="673"/>
      <c r="R56" s="673"/>
      <c r="S56" s="673"/>
      <c r="T56" s="673"/>
    </row>
    <row r="57" spans="1:20" ht="15.75" thickBot="1" x14ac:dyDescent="0.3">
      <c r="A57" s="114" t="s">
        <v>277</v>
      </c>
      <c r="B57" s="107" t="s">
        <v>140</v>
      </c>
      <c r="C57" s="108"/>
      <c r="D57" s="107"/>
      <c r="E57" s="205"/>
      <c r="F57" s="107"/>
      <c r="G57" s="205"/>
      <c r="H57" s="107"/>
      <c r="I57" s="205"/>
      <c r="J57" s="107"/>
      <c r="K57" s="205"/>
      <c r="L57" s="107"/>
      <c r="M57" s="205"/>
      <c r="N57" s="107"/>
      <c r="O57" s="109"/>
      <c r="P57" s="672" t="s">
        <v>277</v>
      </c>
      <c r="Q57" s="673"/>
      <c r="R57" s="673"/>
      <c r="S57" s="673"/>
      <c r="T57" s="673"/>
    </row>
    <row r="58" spans="1:20" x14ac:dyDescent="0.25">
      <c r="A58" s="128" t="s">
        <v>278</v>
      </c>
      <c r="B58" s="103" t="s">
        <v>140</v>
      </c>
      <c r="C58" s="130"/>
      <c r="D58" s="129"/>
      <c r="E58" s="206"/>
      <c r="F58" s="129"/>
      <c r="G58" s="206"/>
      <c r="H58" s="129"/>
      <c r="I58" s="206"/>
      <c r="J58" s="129"/>
      <c r="K58" s="206"/>
      <c r="L58" s="129"/>
      <c r="M58" s="206"/>
      <c r="N58" s="129"/>
      <c r="O58" s="151"/>
      <c r="P58" s="672" t="s">
        <v>278</v>
      </c>
      <c r="Q58" s="673"/>
      <c r="R58" s="673"/>
      <c r="S58" s="673"/>
      <c r="T58" s="673"/>
    </row>
    <row r="59" spans="1:20" ht="15.75" thickBot="1" x14ac:dyDescent="0.3">
      <c r="A59" s="114" t="s">
        <v>279</v>
      </c>
      <c r="B59" s="107" t="s">
        <v>140</v>
      </c>
      <c r="C59" s="108"/>
      <c r="D59" s="107"/>
      <c r="E59" s="205"/>
      <c r="F59" s="107"/>
      <c r="G59" s="205"/>
      <c r="H59" s="107"/>
      <c r="I59" s="205"/>
      <c r="J59" s="107"/>
      <c r="K59" s="205"/>
      <c r="L59" s="107"/>
      <c r="M59" s="205"/>
      <c r="N59" s="107"/>
      <c r="O59" s="109"/>
      <c r="P59" s="672" t="s">
        <v>279</v>
      </c>
      <c r="Q59" s="673"/>
      <c r="R59" s="673"/>
      <c r="S59" s="673"/>
      <c r="T59" s="673"/>
    </row>
    <row r="60" spans="1:20" x14ac:dyDescent="0.25">
      <c r="A60" s="112" t="s">
        <v>280</v>
      </c>
      <c r="B60" s="103" t="s">
        <v>140</v>
      </c>
      <c r="C60" s="104"/>
      <c r="D60" s="103"/>
      <c r="E60" s="204"/>
      <c r="F60" s="103"/>
      <c r="G60" s="204"/>
      <c r="H60" s="103"/>
      <c r="I60" s="204"/>
      <c r="J60" s="103"/>
      <c r="K60" s="204"/>
      <c r="L60" s="103"/>
      <c r="M60" s="204"/>
      <c r="N60" s="103"/>
      <c r="O60" s="105"/>
      <c r="P60" s="672" t="s">
        <v>280</v>
      </c>
      <c r="Q60" s="673"/>
      <c r="R60" s="673"/>
      <c r="S60" s="673"/>
      <c r="T60" s="673"/>
    </row>
    <row r="61" spans="1:20" ht="15.75" thickBot="1" x14ac:dyDescent="0.3">
      <c r="A61" s="114" t="s">
        <v>281</v>
      </c>
      <c r="B61" s="107" t="s">
        <v>140</v>
      </c>
      <c r="C61" s="108"/>
      <c r="D61" s="107"/>
      <c r="E61" s="205"/>
      <c r="F61" s="107"/>
      <c r="G61" s="205"/>
      <c r="H61" s="107"/>
      <c r="I61" s="205"/>
      <c r="J61" s="107"/>
      <c r="K61" s="205"/>
      <c r="L61" s="107"/>
      <c r="M61" s="205"/>
      <c r="N61" s="107"/>
      <c r="O61" s="109"/>
      <c r="P61" s="672" t="s">
        <v>281</v>
      </c>
      <c r="Q61" s="673"/>
      <c r="R61" s="673"/>
      <c r="S61" s="673"/>
      <c r="T61" s="673"/>
    </row>
    <row r="62" spans="1:20" x14ac:dyDescent="0.25">
      <c r="A62" s="112" t="s">
        <v>760</v>
      </c>
      <c r="B62" s="103" t="s">
        <v>48</v>
      </c>
      <c r="C62" s="104"/>
      <c r="D62" s="103"/>
      <c r="E62" s="204"/>
      <c r="F62" s="103"/>
      <c r="G62" s="204"/>
      <c r="H62" s="103"/>
      <c r="I62" s="204"/>
      <c r="J62" s="103"/>
      <c r="K62" s="204"/>
      <c r="L62" s="103"/>
      <c r="M62" s="204"/>
      <c r="N62" s="103"/>
      <c r="O62" s="105"/>
      <c r="P62" s="672" t="s">
        <v>760</v>
      </c>
      <c r="Q62" s="673"/>
      <c r="R62" s="673"/>
      <c r="S62" s="673"/>
      <c r="T62" s="673"/>
    </row>
    <row r="63" spans="1:20" ht="15.75" thickBot="1" x14ac:dyDescent="0.3">
      <c r="A63" s="114" t="s">
        <v>672</v>
      </c>
      <c r="B63" s="107" t="s">
        <v>48</v>
      </c>
      <c r="C63" s="108"/>
      <c r="D63" s="107"/>
      <c r="E63" s="205"/>
      <c r="F63" s="107"/>
      <c r="G63" s="205"/>
      <c r="H63" s="107"/>
      <c r="I63" s="205"/>
      <c r="J63" s="107"/>
      <c r="K63" s="205"/>
      <c r="L63" s="107"/>
      <c r="M63" s="205"/>
      <c r="N63" s="107"/>
      <c r="O63" s="109"/>
      <c r="P63" s="672" t="s">
        <v>672</v>
      </c>
      <c r="Q63" s="673"/>
      <c r="R63" s="673"/>
      <c r="S63" s="673"/>
      <c r="T63" s="673"/>
    </row>
    <row r="64" spans="1:20" x14ac:dyDescent="0.25">
      <c r="A64" s="436" t="s">
        <v>397</v>
      </c>
      <c r="B64" s="436"/>
      <c r="C64" s="436"/>
      <c r="D64" s="436"/>
      <c r="E64" s="436"/>
      <c r="F64" s="436"/>
      <c r="G64" s="436"/>
      <c r="H64" s="436"/>
      <c r="I64" s="436"/>
    </row>
    <row r="65" spans="1:15" x14ac:dyDescent="0.25">
      <c r="A65" s="334" t="s">
        <v>487</v>
      </c>
      <c r="B65" s="335"/>
      <c r="C65" s="335"/>
      <c r="D65" s="335"/>
      <c r="E65" s="335"/>
      <c r="F65" s="335"/>
      <c r="G65" s="335"/>
      <c r="H65" s="335"/>
      <c r="I65" s="335"/>
      <c r="J65" s="135"/>
      <c r="K65" s="135"/>
      <c r="L65" s="135"/>
    </row>
    <row r="66" spans="1:15" ht="15.75" thickBot="1" x14ac:dyDescent="0.3">
      <c r="A66" s="453"/>
      <c r="B66" s="335"/>
      <c r="C66" s="335"/>
      <c r="D66" s="335"/>
      <c r="E66" s="335"/>
      <c r="F66" s="335"/>
      <c r="G66" s="335"/>
      <c r="H66" s="335"/>
      <c r="I66" s="335"/>
      <c r="J66" s="135"/>
      <c r="K66" s="135"/>
      <c r="L66" s="135"/>
    </row>
    <row r="67" spans="1:15" ht="15.75" thickBot="1" x14ac:dyDescent="0.3">
      <c r="A67" s="696" t="s">
        <v>866</v>
      </c>
      <c r="B67" s="697"/>
      <c r="C67" s="697"/>
      <c r="D67" s="697"/>
      <c r="E67" s="697"/>
      <c r="F67" s="697"/>
      <c r="G67" s="697"/>
      <c r="H67" s="697"/>
      <c r="I67" s="697"/>
      <c r="J67" s="697"/>
      <c r="K67" s="697"/>
      <c r="L67" s="697"/>
      <c r="M67" s="697"/>
      <c r="N67" s="698"/>
      <c r="O67" s="100"/>
    </row>
    <row r="68" spans="1:15" x14ac:dyDescent="0.25">
      <c r="A68" s="692" t="s">
        <v>722</v>
      </c>
      <c r="B68" s="693"/>
      <c r="C68" s="465" t="s">
        <v>89</v>
      </c>
      <c r="D68" s="466" t="s">
        <v>49</v>
      </c>
      <c r="E68" s="709" t="s">
        <v>15</v>
      </c>
      <c r="F68" s="709"/>
      <c r="G68" s="702" t="s">
        <v>107</v>
      </c>
      <c r="H68" s="702"/>
      <c r="I68" s="702" t="s">
        <v>14</v>
      </c>
      <c r="J68" s="702"/>
      <c r="K68" s="702" t="s">
        <v>90</v>
      </c>
      <c r="L68" s="702"/>
      <c r="M68" s="702"/>
      <c r="N68" s="690" t="s">
        <v>141</v>
      </c>
      <c r="O68" s="100"/>
    </row>
    <row r="69" spans="1:15" ht="27" thickBot="1" x14ac:dyDescent="0.3">
      <c r="A69" s="694"/>
      <c r="B69" s="695"/>
      <c r="C69" s="457" t="s">
        <v>38</v>
      </c>
      <c r="D69" s="458" t="s">
        <v>38</v>
      </c>
      <c r="E69" s="704" t="s">
        <v>38</v>
      </c>
      <c r="F69" s="704"/>
      <c r="G69" s="703" t="s">
        <v>108</v>
      </c>
      <c r="H69" s="703"/>
      <c r="I69" s="704" t="s">
        <v>25</v>
      </c>
      <c r="J69" s="704"/>
      <c r="K69" s="703" t="s">
        <v>91</v>
      </c>
      <c r="L69" s="703"/>
      <c r="M69" s="703"/>
      <c r="N69" s="691"/>
      <c r="O69" s="7"/>
    </row>
    <row r="70" spans="1:15" x14ac:dyDescent="0.25">
      <c r="A70" s="679" t="s">
        <v>653</v>
      </c>
      <c r="B70" s="680"/>
      <c r="C70" s="432"/>
      <c r="D70" s="15"/>
      <c r="E70" s="485"/>
      <c r="F70" s="485"/>
      <c r="G70" s="485"/>
      <c r="H70" s="485"/>
      <c r="I70" s="485"/>
      <c r="J70" s="485"/>
      <c r="K70" s="485"/>
      <c r="L70" s="485"/>
      <c r="M70" s="485"/>
      <c r="N70" s="460"/>
      <c r="O70" s="435" t="s">
        <v>653</v>
      </c>
    </row>
    <row r="71" spans="1:15" x14ac:dyDescent="0.25">
      <c r="A71" s="677" t="s">
        <v>654</v>
      </c>
      <c r="B71" s="678"/>
      <c r="C71" s="432"/>
      <c r="D71" s="15"/>
      <c r="E71" s="485"/>
      <c r="F71" s="485"/>
      <c r="G71" s="485"/>
      <c r="H71" s="485"/>
      <c r="I71" s="485"/>
      <c r="J71" s="485"/>
      <c r="K71" s="485"/>
      <c r="L71" s="485"/>
      <c r="M71" s="485"/>
      <c r="N71" s="460"/>
      <c r="O71" s="435" t="s">
        <v>654</v>
      </c>
    </row>
    <row r="72" spans="1:15" x14ac:dyDescent="0.25">
      <c r="A72" s="677" t="s">
        <v>655</v>
      </c>
      <c r="B72" s="678"/>
      <c r="C72" s="432"/>
      <c r="D72" s="15"/>
      <c r="E72" s="485"/>
      <c r="F72" s="485"/>
      <c r="G72" s="485"/>
      <c r="H72" s="485"/>
      <c r="I72" s="485"/>
      <c r="J72" s="485"/>
      <c r="K72" s="485"/>
      <c r="L72" s="485"/>
      <c r="M72" s="485"/>
      <c r="N72" s="460"/>
      <c r="O72" s="435" t="s">
        <v>655</v>
      </c>
    </row>
    <row r="73" spans="1:15" x14ac:dyDescent="0.25">
      <c r="A73" s="677" t="s">
        <v>656</v>
      </c>
      <c r="B73" s="678"/>
      <c r="C73" s="432"/>
      <c r="D73" s="15"/>
      <c r="E73" s="485"/>
      <c r="F73" s="485"/>
      <c r="G73" s="485"/>
      <c r="H73" s="485"/>
      <c r="I73" s="485"/>
      <c r="J73" s="485"/>
      <c r="K73" s="485"/>
      <c r="L73" s="485"/>
      <c r="M73" s="485"/>
      <c r="N73" s="460"/>
      <c r="O73" s="435" t="s">
        <v>656</v>
      </c>
    </row>
    <row r="74" spans="1:15" ht="15.75" thickBot="1" x14ac:dyDescent="0.3">
      <c r="A74" s="675" t="s">
        <v>657</v>
      </c>
      <c r="B74" s="676"/>
      <c r="C74" s="454"/>
      <c r="D74" s="455"/>
      <c r="E74" s="701"/>
      <c r="F74" s="701"/>
      <c r="G74" s="701"/>
      <c r="H74" s="701"/>
      <c r="I74" s="701"/>
      <c r="J74" s="701"/>
      <c r="K74" s="701"/>
      <c r="L74" s="701"/>
      <c r="M74" s="701"/>
      <c r="N74" s="461"/>
      <c r="O74" s="435" t="s">
        <v>657</v>
      </c>
    </row>
    <row r="75" spans="1:15" x14ac:dyDescent="0.25">
      <c r="A75" s="708" t="s">
        <v>867</v>
      </c>
      <c r="B75" s="708"/>
      <c r="C75" s="708"/>
      <c r="D75" s="708"/>
      <c r="E75" s="708"/>
      <c r="F75" s="708"/>
      <c r="G75" s="708"/>
      <c r="H75" s="708"/>
      <c r="I75" s="6"/>
      <c r="J75" s="6"/>
      <c r="K75" s="6"/>
      <c r="L75" s="6"/>
      <c r="M75" s="6"/>
      <c r="O75" s="435"/>
    </row>
    <row r="76" spans="1:15" ht="15.75" thickBot="1" x14ac:dyDescent="0.3">
      <c r="A76" s="456"/>
      <c r="B76" s="456"/>
      <c r="C76" s="6"/>
      <c r="D76" s="6"/>
      <c r="E76" s="6"/>
      <c r="F76" s="6"/>
      <c r="G76" s="6"/>
      <c r="H76" s="6"/>
      <c r="I76" s="6"/>
      <c r="J76" s="6"/>
      <c r="K76" s="6"/>
      <c r="L76" s="6"/>
      <c r="M76" s="7"/>
      <c r="N76" s="435"/>
      <c r="O76" s="7"/>
    </row>
    <row r="77" spans="1:15" x14ac:dyDescent="0.25">
      <c r="A77" s="705" t="s">
        <v>866</v>
      </c>
      <c r="B77" s="706"/>
      <c r="C77" s="706"/>
      <c r="D77" s="706"/>
      <c r="E77" s="706"/>
      <c r="F77" s="706"/>
      <c r="G77" s="706"/>
      <c r="H77" s="707"/>
      <c r="I77" s="7"/>
      <c r="J77" s="7"/>
      <c r="K77" s="7"/>
      <c r="L77" s="7"/>
      <c r="M77" s="7"/>
      <c r="N77" s="7"/>
      <c r="O77" s="7"/>
    </row>
    <row r="78" spans="1:15" x14ac:dyDescent="0.25">
      <c r="A78" s="714" t="s">
        <v>868</v>
      </c>
      <c r="B78" s="715"/>
      <c r="C78" s="462" t="s">
        <v>89</v>
      </c>
      <c r="D78" s="459" t="s">
        <v>49</v>
      </c>
      <c r="E78" s="704" t="s">
        <v>15</v>
      </c>
      <c r="F78" s="704"/>
      <c r="G78" s="712" t="s">
        <v>141</v>
      </c>
      <c r="H78" s="691"/>
      <c r="I78" s="7"/>
      <c r="J78" s="7"/>
      <c r="K78" s="7"/>
      <c r="L78" s="7"/>
      <c r="M78" s="7"/>
      <c r="N78" s="7"/>
      <c r="O78" s="7"/>
    </row>
    <row r="79" spans="1:15" ht="26.45" customHeight="1" x14ac:dyDescent="0.25">
      <c r="A79" s="714"/>
      <c r="B79" s="715"/>
      <c r="C79" s="462" t="s">
        <v>761</v>
      </c>
      <c r="D79" s="462" t="s">
        <v>761</v>
      </c>
      <c r="E79" s="704" t="s">
        <v>761</v>
      </c>
      <c r="F79" s="704"/>
      <c r="G79" s="712"/>
      <c r="H79" s="691"/>
      <c r="I79" s="7"/>
      <c r="J79" s="7"/>
      <c r="K79" s="7"/>
      <c r="L79" s="7"/>
      <c r="M79" s="7"/>
      <c r="N79" s="7"/>
      <c r="O79" s="7"/>
    </row>
    <row r="80" spans="1:15" x14ac:dyDescent="0.25">
      <c r="A80" s="677" t="s">
        <v>653</v>
      </c>
      <c r="B80" s="681"/>
      <c r="C80" s="15"/>
      <c r="D80" s="15"/>
      <c r="E80" s="485"/>
      <c r="F80" s="485"/>
      <c r="G80" s="699"/>
      <c r="H80" s="700"/>
      <c r="I80" s="435" t="s">
        <v>653</v>
      </c>
      <c r="J80" s="7"/>
      <c r="K80" s="7"/>
      <c r="L80" s="7"/>
      <c r="M80" s="7"/>
      <c r="N80" s="7"/>
      <c r="O80" s="7"/>
    </row>
    <row r="81" spans="1:20" x14ac:dyDescent="0.25">
      <c r="A81" s="677" t="s">
        <v>654</v>
      </c>
      <c r="B81" s="681"/>
      <c r="C81" s="15"/>
      <c r="D81" s="15"/>
      <c r="E81" s="485"/>
      <c r="F81" s="485"/>
      <c r="G81" s="699"/>
      <c r="H81" s="700"/>
      <c r="I81" s="435" t="s">
        <v>654</v>
      </c>
      <c r="J81" s="7"/>
      <c r="K81" s="7"/>
      <c r="L81" s="7"/>
      <c r="M81" s="7"/>
      <c r="N81" s="7"/>
      <c r="O81" s="7"/>
    </row>
    <row r="82" spans="1:20" x14ac:dyDescent="0.25">
      <c r="A82" s="677" t="s">
        <v>655</v>
      </c>
      <c r="B82" s="681"/>
      <c r="C82" s="15"/>
      <c r="D82" s="15"/>
      <c r="E82" s="485"/>
      <c r="F82" s="485"/>
      <c r="G82" s="699"/>
      <c r="H82" s="700"/>
      <c r="I82" s="435" t="s">
        <v>655</v>
      </c>
      <c r="J82" s="7"/>
      <c r="K82" s="7"/>
      <c r="L82" s="7"/>
      <c r="M82" s="7"/>
      <c r="N82" s="7"/>
      <c r="O82" s="7"/>
    </row>
    <row r="83" spans="1:20" x14ac:dyDescent="0.25">
      <c r="A83" s="677" t="s">
        <v>656</v>
      </c>
      <c r="B83" s="681"/>
      <c r="C83" s="15"/>
      <c r="D83" s="15"/>
      <c r="E83" s="485"/>
      <c r="F83" s="485"/>
      <c r="G83" s="699"/>
      <c r="H83" s="700"/>
      <c r="I83" s="435" t="s">
        <v>656</v>
      </c>
      <c r="J83" s="7"/>
      <c r="K83" s="7"/>
      <c r="L83" s="7"/>
      <c r="M83" s="7"/>
      <c r="N83" s="7"/>
      <c r="O83" s="7"/>
    </row>
    <row r="84" spans="1:20" ht="15.75" thickBot="1" x14ac:dyDescent="0.3">
      <c r="A84" s="675" t="s">
        <v>657</v>
      </c>
      <c r="B84" s="713"/>
      <c r="C84" s="455"/>
      <c r="D84" s="455"/>
      <c r="E84" s="701"/>
      <c r="F84" s="701"/>
      <c r="G84" s="710"/>
      <c r="H84" s="711"/>
      <c r="I84" s="435" t="s">
        <v>657</v>
      </c>
      <c r="J84" s="7"/>
      <c r="K84" s="7"/>
      <c r="L84" s="7"/>
      <c r="M84" s="7"/>
      <c r="N84" s="7"/>
      <c r="O84" s="7"/>
    </row>
    <row r="85" spans="1:20" x14ac:dyDescent="0.25">
      <c r="A85" s="7"/>
      <c r="B85" s="7"/>
      <c r="C85" s="7"/>
      <c r="D85" s="7"/>
      <c r="E85" s="7"/>
      <c r="F85" s="7"/>
      <c r="G85" s="7"/>
      <c r="H85" s="7"/>
      <c r="I85" s="7"/>
      <c r="J85" s="7"/>
      <c r="K85" s="7"/>
      <c r="L85" s="7"/>
      <c r="M85" s="7"/>
      <c r="N85" s="7"/>
      <c r="O85" s="7"/>
    </row>
    <row r="86" spans="1:20" x14ac:dyDescent="0.25">
      <c r="A86" s="7"/>
      <c r="B86" s="7"/>
      <c r="C86" s="7"/>
      <c r="D86" s="7"/>
      <c r="E86" s="7"/>
      <c r="F86" s="7"/>
      <c r="G86" s="7"/>
      <c r="H86" s="7"/>
      <c r="I86" s="7"/>
      <c r="J86" s="7"/>
      <c r="K86" s="7"/>
      <c r="L86" s="7"/>
      <c r="M86" s="7"/>
      <c r="N86" s="7"/>
      <c r="O86" s="7"/>
    </row>
    <row r="87" spans="1:20" x14ac:dyDescent="0.25">
      <c r="A87" s="7"/>
      <c r="B87" s="7"/>
      <c r="C87" s="7"/>
      <c r="D87" s="7"/>
      <c r="E87" s="7"/>
      <c r="F87" s="7"/>
      <c r="G87" s="7"/>
      <c r="H87" s="7"/>
      <c r="I87" s="7"/>
      <c r="J87" s="7"/>
      <c r="K87" s="7"/>
      <c r="L87" s="7"/>
      <c r="M87" s="7"/>
      <c r="N87" s="7"/>
      <c r="O87" s="7"/>
    </row>
    <row r="88" spans="1:20" x14ac:dyDescent="0.25">
      <c r="A88" s="7"/>
      <c r="B88" s="7"/>
      <c r="C88" s="7"/>
      <c r="D88" s="7"/>
      <c r="E88" s="7"/>
      <c r="F88" s="7"/>
      <c r="G88" s="7"/>
      <c r="H88" s="7"/>
      <c r="I88" s="7"/>
      <c r="J88" s="7"/>
      <c r="K88" s="7"/>
      <c r="L88" s="7"/>
      <c r="M88" s="7"/>
      <c r="N88" s="7"/>
      <c r="O88" s="7"/>
    </row>
    <row r="89" spans="1:20" x14ac:dyDescent="0.25">
      <c r="A89" s="7"/>
      <c r="B89" s="7"/>
      <c r="C89" s="7"/>
      <c r="D89" s="7"/>
      <c r="E89" s="7"/>
      <c r="F89" s="7"/>
      <c r="G89" s="7"/>
      <c r="H89" s="7"/>
      <c r="I89" s="7"/>
      <c r="J89" s="7"/>
      <c r="K89" s="7"/>
      <c r="L89" s="7"/>
      <c r="M89" s="7"/>
      <c r="N89" s="7"/>
      <c r="O89" s="7"/>
    </row>
    <row r="91" spans="1:20" ht="7.9" customHeight="1" x14ac:dyDescent="0.25">
      <c r="A91" s="660"/>
      <c r="B91" s="660"/>
      <c r="C91" s="660"/>
      <c r="D91" s="660"/>
      <c r="E91" s="660"/>
      <c r="F91" s="660"/>
      <c r="G91" s="660"/>
      <c r="H91" s="660"/>
      <c r="I91" s="660"/>
      <c r="J91" s="660"/>
      <c r="K91" s="660"/>
      <c r="L91" s="660"/>
      <c r="M91" s="660"/>
      <c r="N91" s="660"/>
      <c r="O91" s="660"/>
      <c r="P91" s="330"/>
      <c r="Q91" s="330"/>
      <c r="R91" s="330"/>
      <c r="S91" s="330"/>
      <c r="T91" s="330"/>
    </row>
    <row r="92" spans="1:20" ht="22.15" customHeight="1" x14ac:dyDescent="0.25">
      <c r="A92" s="662" t="s">
        <v>596</v>
      </c>
      <c r="B92" s="662"/>
      <c r="C92" s="662"/>
      <c r="D92" s="662"/>
      <c r="E92" s="662"/>
      <c r="F92" s="662"/>
      <c r="G92" s="662"/>
      <c r="H92" s="662"/>
      <c r="I92" s="662"/>
      <c r="J92" s="662"/>
      <c r="K92" s="662"/>
      <c r="L92" s="662"/>
      <c r="M92" s="662"/>
      <c r="N92" s="662"/>
      <c r="O92" s="662"/>
      <c r="P92" s="329"/>
      <c r="Q92" s="329"/>
      <c r="R92" s="329"/>
      <c r="S92" s="329"/>
      <c r="T92" s="329"/>
    </row>
    <row r="93" spans="1:20" ht="7.9" customHeight="1" x14ac:dyDescent="0.25">
      <c r="A93" s="660"/>
      <c r="B93" s="660"/>
      <c r="C93" s="660"/>
      <c r="D93" s="660"/>
      <c r="E93" s="660"/>
      <c r="F93" s="660"/>
      <c r="G93" s="660"/>
      <c r="H93" s="660"/>
      <c r="I93" s="660"/>
      <c r="J93" s="660"/>
      <c r="K93" s="660"/>
      <c r="L93" s="660"/>
      <c r="M93" s="660"/>
      <c r="N93" s="660"/>
      <c r="O93" s="660"/>
      <c r="P93" s="330"/>
      <c r="Q93" s="330"/>
      <c r="R93" s="330"/>
      <c r="S93" s="330"/>
      <c r="T93" s="330"/>
    </row>
    <row r="94" spans="1:20" ht="22.15" customHeight="1" x14ac:dyDescent="0.25">
      <c r="A94" s="661" t="s">
        <v>488</v>
      </c>
      <c r="B94" s="661"/>
      <c r="C94" s="661"/>
      <c r="D94" s="661"/>
      <c r="E94" s="661"/>
      <c r="F94" s="661"/>
      <c r="G94" s="661"/>
      <c r="H94" s="661"/>
      <c r="I94" s="661"/>
      <c r="J94" s="661"/>
      <c r="K94" s="661"/>
      <c r="L94" s="661"/>
      <c r="M94" s="661"/>
      <c r="N94" s="661"/>
      <c r="O94" s="661"/>
      <c r="P94" s="331"/>
      <c r="Q94" s="331"/>
      <c r="R94" s="331"/>
      <c r="S94" s="331"/>
      <c r="T94" s="331"/>
    </row>
    <row r="95" spans="1:20" ht="36" customHeight="1" x14ac:dyDescent="0.25">
      <c r="A95" s="663" t="s">
        <v>597</v>
      </c>
      <c r="B95" s="663"/>
      <c r="C95" s="663"/>
      <c r="D95" s="663"/>
      <c r="E95" s="663"/>
      <c r="F95" s="663"/>
      <c r="G95" s="663"/>
      <c r="H95" s="663"/>
      <c r="I95" s="663"/>
      <c r="J95" s="663"/>
      <c r="K95" s="663"/>
      <c r="L95" s="663"/>
      <c r="M95" s="663"/>
      <c r="N95" s="663"/>
      <c r="O95" s="663"/>
      <c r="P95" s="332"/>
      <c r="Q95" s="332"/>
      <c r="R95" s="332"/>
      <c r="S95" s="332"/>
      <c r="T95" s="332"/>
    </row>
    <row r="96" spans="1:20" ht="18" customHeight="1" x14ac:dyDescent="0.25">
      <c r="A96" s="670" t="s">
        <v>490</v>
      </c>
      <c r="B96" s="671"/>
      <c r="C96" s="671"/>
      <c r="D96" s="671"/>
      <c r="E96" s="671"/>
      <c r="F96" s="671"/>
      <c r="G96" s="671"/>
      <c r="H96" s="671"/>
      <c r="I96" s="671"/>
      <c r="J96" s="671"/>
      <c r="K96" s="671"/>
      <c r="L96" s="671"/>
      <c r="M96" s="671"/>
      <c r="N96" s="671"/>
      <c r="O96" s="671"/>
      <c r="P96" s="333"/>
      <c r="Q96" s="333"/>
      <c r="R96" s="333"/>
      <c r="S96" s="333"/>
      <c r="T96" s="333"/>
    </row>
    <row r="97" spans="1:20" ht="18" customHeight="1" x14ac:dyDescent="0.25">
      <c r="A97" s="670" t="s">
        <v>598</v>
      </c>
      <c r="B97" s="671"/>
      <c r="C97" s="671"/>
      <c r="D97" s="671"/>
      <c r="E97" s="671"/>
      <c r="F97" s="671"/>
      <c r="G97" s="671"/>
      <c r="H97" s="671"/>
      <c r="I97" s="671"/>
      <c r="J97" s="671"/>
      <c r="K97" s="671"/>
      <c r="L97" s="671"/>
      <c r="M97" s="671"/>
      <c r="N97" s="671"/>
      <c r="O97" s="671"/>
      <c r="P97" s="333"/>
      <c r="Q97" s="333"/>
      <c r="R97" s="333"/>
      <c r="S97" s="333"/>
      <c r="T97" s="333"/>
    </row>
    <row r="98" spans="1:20" ht="18" customHeight="1" x14ac:dyDescent="0.25">
      <c r="A98" s="670" t="s">
        <v>599</v>
      </c>
      <c r="B98" s="671"/>
      <c r="C98" s="671"/>
      <c r="D98" s="671"/>
      <c r="E98" s="671"/>
      <c r="F98" s="671"/>
      <c r="G98" s="671"/>
      <c r="H98" s="671"/>
      <c r="I98" s="671"/>
      <c r="J98" s="671"/>
      <c r="K98" s="671"/>
      <c r="L98" s="671"/>
      <c r="M98" s="671"/>
      <c r="N98" s="671"/>
      <c r="O98" s="671"/>
      <c r="P98" s="333"/>
      <c r="Q98" s="333"/>
      <c r="R98" s="333"/>
      <c r="S98" s="333"/>
      <c r="T98" s="333"/>
    </row>
    <row r="99" spans="1:20" ht="18" customHeight="1" x14ac:dyDescent="0.25">
      <c r="A99" s="670" t="s">
        <v>491</v>
      </c>
      <c r="B99" s="671"/>
      <c r="C99" s="671"/>
      <c r="D99" s="671"/>
      <c r="E99" s="671"/>
      <c r="F99" s="671"/>
      <c r="G99" s="671"/>
      <c r="H99" s="671"/>
      <c r="I99" s="671"/>
      <c r="J99" s="671"/>
      <c r="K99" s="671"/>
      <c r="L99" s="671"/>
      <c r="M99" s="671"/>
      <c r="N99" s="671"/>
      <c r="O99" s="671"/>
      <c r="P99" s="333"/>
      <c r="Q99" s="333"/>
      <c r="R99" s="333"/>
      <c r="S99" s="333"/>
      <c r="T99" s="333"/>
    </row>
    <row r="100" spans="1:20" ht="18" customHeight="1" x14ac:dyDescent="0.25">
      <c r="A100" s="670" t="s">
        <v>869</v>
      </c>
      <c r="B100" s="671"/>
      <c r="C100" s="671"/>
      <c r="D100" s="671"/>
      <c r="E100" s="671"/>
      <c r="F100" s="671"/>
      <c r="G100" s="671"/>
      <c r="H100" s="671"/>
      <c r="I100" s="671"/>
      <c r="J100" s="671"/>
      <c r="K100" s="671"/>
      <c r="L100" s="671"/>
      <c r="M100" s="671"/>
      <c r="N100" s="671"/>
      <c r="O100" s="671"/>
      <c r="P100" s="333"/>
      <c r="Q100" s="333"/>
      <c r="R100" s="333"/>
      <c r="S100" s="333"/>
      <c r="T100" s="333"/>
    </row>
    <row r="101" spans="1:20" ht="18" customHeight="1" x14ac:dyDescent="0.25">
      <c r="A101" s="670" t="s">
        <v>870</v>
      </c>
      <c r="B101" s="671"/>
      <c r="C101" s="671"/>
      <c r="D101" s="671"/>
      <c r="E101" s="671"/>
      <c r="F101" s="671"/>
      <c r="G101" s="671"/>
      <c r="H101" s="671"/>
      <c r="I101" s="671"/>
      <c r="J101" s="671"/>
      <c r="K101" s="671"/>
      <c r="L101" s="671"/>
      <c r="M101" s="671"/>
      <c r="N101" s="671"/>
      <c r="O101" s="671"/>
      <c r="P101" s="333"/>
      <c r="Q101" s="333"/>
      <c r="R101" s="333"/>
      <c r="S101" s="333"/>
      <c r="T101" s="333"/>
    </row>
    <row r="102" spans="1:20" ht="18" customHeight="1" x14ac:dyDescent="0.25">
      <c r="A102" s="670" t="s">
        <v>871</v>
      </c>
      <c r="B102" s="671"/>
      <c r="C102" s="671"/>
      <c r="D102" s="671"/>
      <c r="E102" s="671"/>
      <c r="F102" s="671"/>
      <c r="G102" s="671"/>
      <c r="H102" s="671"/>
      <c r="I102" s="671"/>
      <c r="J102" s="671"/>
      <c r="K102" s="671"/>
      <c r="L102" s="671"/>
      <c r="M102" s="671"/>
      <c r="N102" s="671"/>
      <c r="O102" s="671"/>
      <c r="P102" s="333"/>
      <c r="Q102" s="333"/>
      <c r="R102" s="333"/>
      <c r="S102" s="333"/>
      <c r="T102" s="333"/>
    </row>
    <row r="103" spans="1:20" x14ac:dyDescent="0.25">
      <c r="A103" s="663" t="s">
        <v>872</v>
      </c>
      <c r="B103" s="663"/>
      <c r="C103" s="663"/>
      <c r="D103" s="663"/>
      <c r="E103" s="663"/>
      <c r="F103" s="663"/>
      <c r="G103" s="663"/>
      <c r="H103" s="663"/>
      <c r="I103" s="663"/>
      <c r="J103" s="663"/>
      <c r="K103" s="663"/>
      <c r="L103" s="663"/>
      <c r="M103" s="663"/>
      <c r="N103" s="663"/>
      <c r="O103" s="663"/>
      <c r="P103" s="332"/>
      <c r="Q103" s="332"/>
      <c r="R103" s="332"/>
      <c r="S103" s="332"/>
      <c r="T103" s="332"/>
    </row>
    <row r="104" spans="1:20" ht="29.45" customHeight="1" x14ac:dyDescent="0.25">
      <c r="A104" s="663" t="s">
        <v>873</v>
      </c>
      <c r="B104" s="663"/>
      <c r="C104" s="663"/>
      <c r="D104" s="663"/>
      <c r="E104" s="663"/>
      <c r="F104" s="663"/>
      <c r="G104" s="663"/>
      <c r="H104" s="663"/>
      <c r="I104" s="663"/>
      <c r="J104" s="663"/>
      <c r="K104" s="663"/>
      <c r="L104" s="663"/>
      <c r="M104" s="663"/>
      <c r="N104" s="663"/>
      <c r="O104" s="663"/>
      <c r="P104" s="332"/>
      <c r="Q104" s="332"/>
      <c r="R104" s="332"/>
      <c r="S104" s="332"/>
      <c r="T104" s="332"/>
    </row>
    <row r="105" spans="1:20" ht="40.15" customHeight="1" x14ac:dyDescent="0.25">
      <c r="A105" s="663" t="s">
        <v>874</v>
      </c>
      <c r="B105" s="663"/>
      <c r="C105" s="663"/>
      <c r="D105" s="663"/>
      <c r="E105" s="663"/>
      <c r="F105" s="663"/>
      <c r="G105" s="663"/>
      <c r="H105" s="663"/>
      <c r="I105" s="663"/>
      <c r="J105" s="663"/>
      <c r="K105" s="663"/>
      <c r="L105" s="663"/>
      <c r="M105" s="663"/>
      <c r="N105" s="663"/>
      <c r="O105" s="663"/>
      <c r="P105" s="332"/>
      <c r="Q105" s="332"/>
      <c r="R105" s="332"/>
      <c r="S105" s="332"/>
      <c r="T105" s="332"/>
    </row>
    <row r="106" spans="1:20" ht="41.45" customHeight="1" x14ac:dyDescent="0.25">
      <c r="A106" s="663" t="s">
        <v>875</v>
      </c>
      <c r="B106" s="663"/>
      <c r="C106" s="663"/>
      <c r="D106" s="663"/>
      <c r="E106" s="663"/>
      <c r="F106" s="663"/>
      <c r="G106" s="663"/>
      <c r="H106" s="663"/>
      <c r="I106" s="663"/>
      <c r="J106" s="663"/>
      <c r="K106" s="663"/>
      <c r="L106" s="663"/>
      <c r="M106" s="663"/>
      <c r="N106" s="663"/>
      <c r="O106" s="663"/>
      <c r="P106" s="332"/>
      <c r="Q106" s="332"/>
      <c r="R106" s="332"/>
      <c r="S106" s="332"/>
      <c r="T106" s="332"/>
    </row>
    <row r="107" spans="1:20" ht="70.150000000000006" customHeight="1" x14ac:dyDescent="0.25">
      <c r="A107" s="663" t="s">
        <v>876</v>
      </c>
      <c r="B107" s="663"/>
      <c r="C107" s="663"/>
      <c r="D107" s="663"/>
      <c r="E107" s="663"/>
      <c r="F107" s="663"/>
      <c r="G107" s="663"/>
      <c r="H107" s="663"/>
      <c r="I107" s="663"/>
      <c r="J107" s="663"/>
      <c r="K107" s="663"/>
      <c r="L107" s="663"/>
      <c r="M107" s="663"/>
      <c r="N107" s="663"/>
      <c r="O107" s="663"/>
      <c r="P107" s="332"/>
      <c r="Q107" s="332"/>
      <c r="R107" s="332"/>
      <c r="S107" s="332"/>
      <c r="T107" s="332"/>
    </row>
    <row r="108" spans="1:20" ht="7.9" customHeight="1" x14ac:dyDescent="0.25">
      <c r="A108" s="660"/>
      <c r="B108" s="660"/>
      <c r="C108" s="660"/>
      <c r="D108" s="660"/>
      <c r="E108" s="660"/>
      <c r="F108" s="660"/>
      <c r="G108" s="660"/>
      <c r="H108" s="660"/>
      <c r="I108" s="660"/>
      <c r="J108" s="660"/>
      <c r="K108" s="660"/>
      <c r="L108" s="660"/>
      <c r="M108" s="660"/>
      <c r="N108" s="660"/>
      <c r="O108" s="660"/>
      <c r="P108" s="330"/>
      <c r="Q108" s="330"/>
      <c r="R108" s="330"/>
      <c r="S108" s="330"/>
      <c r="T108" s="330"/>
    </row>
    <row r="109" spans="1:20" ht="22.15" customHeight="1" x14ac:dyDescent="0.25">
      <c r="A109" s="661" t="s">
        <v>600</v>
      </c>
      <c r="B109" s="661"/>
      <c r="C109" s="661"/>
      <c r="D109" s="661"/>
      <c r="E109" s="661"/>
      <c r="F109" s="661"/>
      <c r="G109" s="661"/>
      <c r="H109" s="661"/>
      <c r="I109" s="661"/>
      <c r="J109" s="661"/>
      <c r="K109" s="661"/>
      <c r="L109" s="661"/>
      <c r="M109" s="661"/>
      <c r="N109" s="661"/>
      <c r="O109" s="661"/>
      <c r="P109" s="331"/>
      <c r="Q109" s="331"/>
      <c r="R109" s="331"/>
      <c r="S109" s="331"/>
      <c r="T109" s="331"/>
    </row>
    <row r="110" spans="1:20" ht="29.45" customHeight="1" x14ac:dyDescent="0.25">
      <c r="A110" s="663" t="s">
        <v>601</v>
      </c>
      <c r="B110" s="663"/>
      <c r="C110" s="663"/>
      <c r="D110" s="663"/>
      <c r="E110" s="663"/>
      <c r="F110" s="663"/>
      <c r="G110" s="663"/>
      <c r="H110" s="663"/>
      <c r="I110" s="663"/>
      <c r="J110" s="663"/>
      <c r="K110" s="663"/>
      <c r="L110" s="663"/>
      <c r="M110" s="663"/>
      <c r="N110" s="663"/>
      <c r="O110" s="663"/>
      <c r="P110" s="333"/>
      <c r="Q110" s="333"/>
      <c r="R110" s="333"/>
      <c r="S110" s="333"/>
      <c r="T110" s="333"/>
    </row>
    <row r="111" spans="1:20" ht="34.15" customHeight="1" x14ac:dyDescent="0.25">
      <c r="A111" s="664" t="s">
        <v>877</v>
      </c>
      <c r="B111" s="664"/>
      <c r="C111" s="664"/>
      <c r="D111" s="664"/>
      <c r="E111" s="664"/>
      <c r="F111" s="664"/>
      <c r="G111" s="664"/>
      <c r="H111" s="664"/>
      <c r="I111" s="664"/>
      <c r="J111" s="664"/>
      <c r="K111" s="664"/>
      <c r="L111" s="664"/>
      <c r="M111" s="664"/>
      <c r="N111" s="664"/>
      <c r="O111" s="664"/>
      <c r="P111" s="333"/>
      <c r="Q111" s="333"/>
      <c r="R111" s="333"/>
      <c r="S111" s="333"/>
      <c r="T111" s="333"/>
    </row>
    <row r="112" spans="1:20" ht="19.899999999999999" customHeight="1" x14ac:dyDescent="0.25">
      <c r="A112" s="664" t="s">
        <v>602</v>
      </c>
      <c r="B112" s="664"/>
      <c r="C112" s="664"/>
      <c r="D112" s="664"/>
      <c r="E112" s="664"/>
      <c r="F112" s="664"/>
      <c r="G112" s="664"/>
      <c r="H112" s="664"/>
      <c r="I112" s="664"/>
      <c r="J112" s="664"/>
      <c r="K112" s="664"/>
      <c r="L112" s="664"/>
      <c r="M112" s="664"/>
      <c r="N112" s="664"/>
      <c r="O112" s="664"/>
      <c r="P112" s="333"/>
      <c r="Q112" s="333"/>
      <c r="R112" s="333"/>
      <c r="S112" s="333"/>
      <c r="T112" s="333"/>
    </row>
    <row r="113" spans="1:20" ht="30" customHeight="1" x14ac:dyDescent="0.25">
      <c r="A113" s="665" t="s">
        <v>878</v>
      </c>
      <c r="B113" s="666"/>
      <c r="C113" s="666"/>
      <c r="D113" s="666"/>
      <c r="E113" s="666"/>
      <c r="F113" s="666"/>
      <c r="G113" s="666"/>
      <c r="H113" s="666"/>
      <c r="I113" s="666"/>
      <c r="J113" s="666"/>
      <c r="K113" s="666"/>
      <c r="L113" s="666"/>
      <c r="M113" s="666"/>
      <c r="N113" s="666"/>
      <c r="O113" s="666"/>
      <c r="P113" s="333"/>
      <c r="Q113" s="333"/>
      <c r="R113" s="333"/>
      <c r="S113" s="333"/>
      <c r="T113" s="333"/>
    </row>
    <row r="114" spans="1:20" ht="30" customHeight="1" x14ac:dyDescent="0.25">
      <c r="A114" s="670" t="s">
        <v>603</v>
      </c>
      <c r="B114" s="671"/>
      <c r="C114" s="671"/>
      <c r="D114" s="671"/>
      <c r="E114" s="671"/>
      <c r="F114" s="671"/>
      <c r="G114" s="671"/>
      <c r="H114" s="671"/>
      <c r="I114" s="671"/>
      <c r="J114" s="671"/>
      <c r="K114" s="671"/>
      <c r="L114" s="671"/>
      <c r="M114" s="671"/>
      <c r="N114" s="671"/>
      <c r="O114" s="671"/>
      <c r="P114" s="333"/>
      <c r="Q114" s="333"/>
      <c r="R114" s="333"/>
      <c r="S114" s="333"/>
      <c r="T114" s="333"/>
    </row>
    <row r="115" spans="1:20" ht="30" customHeight="1" x14ac:dyDescent="0.25">
      <c r="A115" s="670" t="s">
        <v>604</v>
      </c>
      <c r="B115" s="671"/>
      <c r="C115" s="671"/>
      <c r="D115" s="671"/>
      <c r="E115" s="671"/>
      <c r="F115" s="671"/>
      <c r="G115" s="671"/>
      <c r="H115" s="671"/>
      <c r="I115" s="671"/>
      <c r="J115" s="671"/>
      <c r="K115" s="671"/>
      <c r="L115" s="671"/>
      <c r="M115" s="671"/>
      <c r="N115" s="671"/>
      <c r="O115" s="671"/>
      <c r="P115" s="333"/>
      <c r="Q115" s="333"/>
      <c r="R115" s="333"/>
      <c r="S115" s="333"/>
      <c r="T115" s="333"/>
    </row>
    <row r="116" spans="1:20" ht="31.15" customHeight="1" x14ac:dyDescent="0.25">
      <c r="A116" s="665" t="s">
        <v>879</v>
      </c>
      <c r="B116" s="666"/>
      <c r="C116" s="666"/>
      <c r="D116" s="666"/>
      <c r="E116" s="666"/>
      <c r="F116" s="666"/>
      <c r="G116" s="666"/>
      <c r="H116" s="666"/>
      <c r="I116" s="666"/>
      <c r="J116" s="666"/>
      <c r="K116" s="666"/>
      <c r="L116" s="666"/>
      <c r="M116" s="666"/>
      <c r="N116" s="666"/>
      <c r="O116" s="666"/>
      <c r="P116" s="333"/>
      <c r="Q116" s="333"/>
      <c r="R116" s="333"/>
      <c r="S116" s="333"/>
      <c r="T116" s="333"/>
    </row>
    <row r="117" spans="1:20" ht="42" customHeight="1" x14ac:dyDescent="0.25">
      <c r="A117" s="665" t="s">
        <v>880</v>
      </c>
      <c r="B117" s="666"/>
      <c r="C117" s="666"/>
      <c r="D117" s="666"/>
      <c r="E117" s="666"/>
      <c r="F117" s="666"/>
      <c r="G117" s="666"/>
      <c r="H117" s="666"/>
      <c r="I117" s="666"/>
      <c r="J117" s="666"/>
      <c r="K117" s="666"/>
      <c r="L117" s="666"/>
      <c r="M117" s="666"/>
      <c r="N117" s="666"/>
      <c r="O117" s="666"/>
      <c r="P117" s="333"/>
      <c r="Q117" s="333"/>
      <c r="R117" s="333"/>
      <c r="S117" s="333"/>
      <c r="T117" s="333"/>
    </row>
    <row r="118" spans="1:20" x14ac:dyDescent="0.25">
      <c r="A118" s="665" t="s">
        <v>881</v>
      </c>
      <c r="B118" s="666"/>
      <c r="C118" s="666"/>
      <c r="D118" s="666"/>
      <c r="E118" s="666"/>
      <c r="F118" s="666"/>
      <c r="G118" s="666"/>
      <c r="H118" s="666"/>
      <c r="I118" s="666"/>
      <c r="J118" s="666"/>
      <c r="K118" s="666"/>
      <c r="L118" s="666"/>
      <c r="M118" s="666"/>
      <c r="N118" s="666"/>
      <c r="O118" s="666"/>
      <c r="P118" s="333"/>
      <c r="Q118" s="333"/>
      <c r="R118" s="333"/>
      <c r="S118" s="333"/>
      <c r="T118" s="333"/>
    </row>
    <row r="119" spans="1:20" ht="16.149999999999999" customHeight="1" x14ac:dyDescent="0.25">
      <c r="A119" s="664" t="s">
        <v>605</v>
      </c>
      <c r="B119" s="664"/>
      <c r="C119" s="664"/>
      <c r="D119" s="664"/>
      <c r="E119" s="664"/>
      <c r="F119" s="664"/>
      <c r="G119" s="664"/>
      <c r="H119" s="664"/>
      <c r="I119" s="664"/>
      <c r="J119" s="664"/>
      <c r="K119" s="664"/>
      <c r="L119" s="664"/>
      <c r="M119" s="664"/>
      <c r="N119" s="664"/>
      <c r="O119" s="664"/>
      <c r="P119" s="333"/>
      <c r="Q119" s="333"/>
      <c r="R119" s="333"/>
      <c r="S119" s="333"/>
      <c r="T119" s="333"/>
    </row>
    <row r="120" spans="1:20" ht="19.149999999999999" customHeight="1" x14ac:dyDescent="0.25">
      <c r="A120" s="665" t="s">
        <v>882</v>
      </c>
      <c r="B120" s="666"/>
      <c r="C120" s="666"/>
      <c r="D120" s="666"/>
      <c r="E120" s="666"/>
      <c r="F120" s="666"/>
      <c r="G120" s="666"/>
      <c r="H120" s="666"/>
      <c r="I120" s="666"/>
      <c r="J120" s="666"/>
      <c r="K120" s="666"/>
      <c r="L120" s="666"/>
      <c r="M120" s="666"/>
      <c r="N120" s="666"/>
      <c r="O120" s="666"/>
      <c r="P120" s="333"/>
      <c r="Q120" s="333"/>
      <c r="R120" s="333"/>
      <c r="S120" s="333"/>
      <c r="T120" s="333"/>
    </row>
    <row r="121" spans="1:20" ht="26.45" customHeight="1" x14ac:dyDescent="0.25">
      <c r="A121" s="665" t="s">
        <v>883</v>
      </c>
      <c r="B121" s="666"/>
      <c r="C121" s="666"/>
      <c r="D121" s="666"/>
      <c r="E121" s="666"/>
      <c r="F121" s="666"/>
      <c r="G121" s="666"/>
      <c r="H121" s="666"/>
      <c r="I121" s="666"/>
      <c r="J121" s="666"/>
      <c r="K121" s="666"/>
      <c r="L121" s="666"/>
      <c r="M121" s="666"/>
      <c r="N121" s="666"/>
      <c r="O121" s="666"/>
      <c r="P121" s="333"/>
      <c r="Q121" s="333"/>
      <c r="R121" s="333"/>
      <c r="S121" s="333"/>
      <c r="T121" s="333"/>
    </row>
    <row r="122" spans="1:20" ht="40.15" customHeight="1" x14ac:dyDescent="0.25">
      <c r="A122" s="664" t="s">
        <v>884</v>
      </c>
      <c r="B122" s="664"/>
      <c r="C122" s="664"/>
      <c r="D122" s="664"/>
      <c r="E122" s="664"/>
      <c r="F122" s="664"/>
      <c r="G122" s="664"/>
      <c r="H122" s="664"/>
      <c r="I122" s="664"/>
      <c r="J122" s="664"/>
      <c r="K122" s="664"/>
      <c r="L122" s="664"/>
      <c r="M122" s="664"/>
      <c r="N122" s="664"/>
      <c r="O122" s="664"/>
      <c r="P122" s="333"/>
      <c r="Q122" s="333"/>
      <c r="R122" s="333"/>
      <c r="S122" s="333"/>
      <c r="T122" s="333"/>
    </row>
    <row r="123" spans="1:20" ht="31.9" customHeight="1" x14ac:dyDescent="0.25">
      <c r="A123" s="664" t="s">
        <v>885</v>
      </c>
      <c r="B123" s="664"/>
      <c r="C123" s="664"/>
      <c r="D123" s="664"/>
      <c r="E123" s="664"/>
      <c r="F123" s="664"/>
      <c r="G123" s="664"/>
      <c r="H123" s="664"/>
      <c r="I123" s="664"/>
      <c r="J123" s="664"/>
      <c r="K123" s="664"/>
      <c r="L123" s="664"/>
      <c r="M123" s="664"/>
      <c r="N123" s="664"/>
      <c r="O123" s="664"/>
      <c r="P123" s="333"/>
      <c r="Q123" s="333"/>
      <c r="R123" s="333"/>
      <c r="S123" s="333"/>
      <c r="T123" s="333"/>
    </row>
    <row r="124" spans="1:20" ht="55.9" customHeight="1" x14ac:dyDescent="0.25">
      <c r="A124" s="664" t="s">
        <v>886</v>
      </c>
      <c r="B124" s="664"/>
      <c r="C124" s="664"/>
      <c r="D124" s="664"/>
      <c r="E124" s="664"/>
      <c r="F124" s="664"/>
      <c r="G124" s="664"/>
      <c r="H124" s="664"/>
      <c r="I124" s="664"/>
      <c r="J124" s="664"/>
      <c r="K124" s="664"/>
      <c r="L124" s="664"/>
      <c r="M124" s="664"/>
      <c r="N124" s="664"/>
      <c r="O124" s="664"/>
      <c r="P124" s="330"/>
      <c r="Q124" s="330"/>
      <c r="R124" s="330"/>
      <c r="S124" s="330"/>
      <c r="T124" s="330"/>
    </row>
    <row r="125" spans="1:20" ht="7.9" customHeight="1" x14ac:dyDescent="0.25">
      <c r="A125" s="669"/>
      <c r="B125" s="669"/>
      <c r="C125" s="669"/>
      <c r="D125" s="669"/>
      <c r="E125" s="669"/>
      <c r="F125" s="669"/>
      <c r="G125" s="669"/>
      <c r="H125" s="669"/>
      <c r="I125" s="669"/>
      <c r="J125" s="669"/>
      <c r="K125" s="669"/>
      <c r="L125" s="669"/>
      <c r="M125" s="669"/>
      <c r="N125" s="669"/>
      <c r="O125" s="669"/>
      <c r="P125" s="330"/>
      <c r="Q125" s="330"/>
      <c r="R125" s="330"/>
      <c r="S125" s="330"/>
      <c r="T125" s="330"/>
    </row>
    <row r="126" spans="1:20" ht="22.15" customHeight="1" x14ac:dyDescent="0.25">
      <c r="A126" s="661" t="s">
        <v>887</v>
      </c>
      <c r="B126" s="661"/>
      <c r="C126" s="661"/>
      <c r="D126" s="661"/>
      <c r="E126" s="661"/>
      <c r="F126" s="661"/>
      <c r="G126" s="661"/>
      <c r="H126" s="661"/>
      <c r="I126" s="661"/>
      <c r="J126" s="661"/>
      <c r="K126" s="661"/>
      <c r="L126" s="661"/>
      <c r="M126" s="661"/>
      <c r="N126" s="661"/>
      <c r="O126" s="661"/>
      <c r="P126" s="331"/>
      <c r="Q126" s="331"/>
      <c r="R126" s="331"/>
      <c r="S126" s="331"/>
      <c r="T126" s="331"/>
    </row>
    <row r="127" spans="1:20" ht="57" customHeight="1" x14ac:dyDescent="0.25">
      <c r="A127" s="663" t="s">
        <v>614</v>
      </c>
      <c r="B127" s="663"/>
      <c r="C127" s="663"/>
      <c r="D127" s="663"/>
      <c r="E127" s="663"/>
      <c r="F127" s="663"/>
      <c r="G127" s="663"/>
      <c r="H127" s="663"/>
      <c r="I127" s="663"/>
      <c r="J127" s="663"/>
      <c r="K127" s="663"/>
      <c r="L127" s="663"/>
      <c r="M127" s="663"/>
      <c r="N127" s="663"/>
      <c r="O127" s="663"/>
      <c r="P127" s="332"/>
      <c r="Q127" s="332"/>
      <c r="R127" s="332"/>
      <c r="S127" s="332"/>
      <c r="T127" s="332"/>
    </row>
    <row r="128" spans="1:20" ht="81.599999999999994" customHeight="1" x14ac:dyDescent="0.25">
      <c r="A128" s="665" t="s">
        <v>888</v>
      </c>
      <c r="B128" s="666"/>
      <c r="C128" s="666"/>
      <c r="D128" s="666"/>
      <c r="E128" s="666"/>
      <c r="F128" s="666"/>
      <c r="G128" s="666"/>
      <c r="H128" s="666"/>
      <c r="I128" s="666"/>
      <c r="J128" s="666"/>
      <c r="K128" s="666"/>
      <c r="L128" s="666"/>
      <c r="M128" s="666"/>
      <c r="N128" s="666"/>
      <c r="O128" s="666"/>
      <c r="P128" s="333"/>
      <c r="Q128" s="333"/>
      <c r="R128" s="333"/>
      <c r="S128" s="333"/>
      <c r="T128" s="333"/>
    </row>
    <row r="129" spans="1:20" ht="82.9" customHeight="1" x14ac:dyDescent="0.25">
      <c r="A129" s="665" t="s">
        <v>606</v>
      </c>
      <c r="B129" s="666"/>
      <c r="C129" s="666"/>
      <c r="D129" s="666"/>
      <c r="E129" s="666"/>
      <c r="F129" s="666"/>
      <c r="G129" s="666"/>
      <c r="H129" s="666"/>
      <c r="I129" s="666"/>
      <c r="J129" s="666"/>
      <c r="K129" s="666"/>
      <c r="L129" s="666"/>
      <c r="M129" s="666"/>
      <c r="N129" s="666"/>
      <c r="O129" s="666"/>
      <c r="P129" s="333"/>
      <c r="Q129" s="333"/>
      <c r="R129" s="333"/>
      <c r="S129" s="333"/>
      <c r="T129" s="333"/>
    </row>
    <row r="130" spans="1:20" ht="45.6" customHeight="1" x14ac:dyDescent="0.25">
      <c r="A130" s="663" t="s">
        <v>889</v>
      </c>
      <c r="B130" s="663"/>
      <c r="C130" s="663"/>
      <c r="D130" s="663"/>
      <c r="E130" s="663"/>
      <c r="F130" s="663"/>
      <c r="G130" s="663"/>
      <c r="H130" s="663"/>
      <c r="I130" s="663"/>
      <c r="J130" s="663"/>
      <c r="K130" s="663"/>
      <c r="L130" s="663"/>
      <c r="M130" s="663"/>
      <c r="N130" s="663"/>
      <c r="O130" s="663"/>
      <c r="P130" s="332"/>
      <c r="Q130" s="332"/>
      <c r="R130" s="332"/>
      <c r="S130" s="332"/>
      <c r="T130" s="332"/>
    </row>
    <row r="131" spans="1:20" ht="7.9" customHeight="1" x14ac:dyDescent="0.25">
      <c r="A131" s="660"/>
      <c r="B131" s="660"/>
      <c r="C131" s="660"/>
      <c r="D131" s="660"/>
      <c r="E131" s="660"/>
      <c r="F131" s="660"/>
      <c r="G131" s="660"/>
      <c r="H131" s="660"/>
      <c r="I131" s="660"/>
      <c r="J131" s="660"/>
      <c r="K131" s="660"/>
      <c r="L131" s="660"/>
      <c r="M131" s="660"/>
      <c r="N131" s="660"/>
      <c r="O131" s="660"/>
      <c r="P131" s="330"/>
      <c r="Q131" s="330"/>
      <c r="R131" s="330"/>
      <c r="S131" s="330"/>
      <c r="T131" s="330"/>
    </row>
    <row r="132" spans="1:20" ht="22.15" customHeight="1" x14ac:dyDescent="0.25">
      <c r="A132" s="661" t="s">
        <v>890</v>
      </c>
      <c r="B132" s="661"/>
      <c r="C132" s="661"/>
      <c r="D132" s="661"/>
      <c r="E132" s="661"/>
      <c r="F132" s="661"/>
      <c r="G132" s="661"/>
      <c r="H132" s="661"/>
      <c r="I132" s="661"/>
      <c r="J132" s="661"/>
      <c r="K132" s="661"/>
      <c r="L132" s="661"/>
      <c r="M132" s="661"/>
      <c r="N132" s="661"/>
      <c r="O132" s="661"/>
      <c r="P132" s="331"/>
      <c r="Q132" s="331"/>
      <c r="R132" s="331"/>
      <c r="S132" s="331"/>
      <c r="T132" s="331"/>
    </row>
    <row r="133" spans="1:20" ht="57" customHeight="1" x14ac:dyDescent="0.25">
      <c r="A133" s="663" t="s">
        <v>891</v>
      </c>
      <c r="B133" s="663"/>
      <c r="C133" s="663"/>
      <c r="D133" s="663"/>
      <c r="E133" s="663"/>
      <c r="F133" s="663"/>
      <c r="G133" s="663"/>
      <c r="H133" s="663"/>
      <c r="I133" s="663"/>
      <c r="J133" s="663"/>
      <c r="K133" s="663"/>
      <c r="L133" s="663"/>
      <c r="M133" s="663"/>
      <c r="N133" s="663"/>
      <c r="O133" s="663"/>
      <c r="P133" s="332"/>
      <c r="Q133" s="332"/>
      <c r="R133" s="332"/>
      <c r="S133" s="332"/>
      <c r="T133" s="332"/>
    </row>
    <row r="134" spans="1:20" ht="81" customHeight="1" x14ac:dyDescent="0.25">
      <c r="A134" s="665" t="s">
        <v>893</v>
      </c>
      <c r="B134" s="666"/>
      <c r="C134" s="666"/>
      <c r="D134" s="666"/>
      <c r="E134" s="666"/>
      <c r="F134" s="666"/>
      <c r="G134" s="666"/>
      <c r="H134" s="666"/>
      <c r="I134" s="666"/>
      <c r="J134" s="666"/>
      <c r="K134" s="666"/>
      <c r="L134" s="666"/>
      <c r="M134" s="666"/>
      <c r="N134" s="666"/>
      <c r="O134" s="666"/>
      <c r="P134" s="333"/>
      <c r="Q134" s="333"/>
      <c r="R134" s="333"/>
      <c r="S134" s="333"/>
      <c r="T134" s="333"/>
    </row>
    <row r="135" spans="1:20" ht="82.9" customHeight="1" x14ac:dyDescent="0.25">
      <c r="A135" s="665" t="s">
        <v>607</v>
      </c>
      <c r="B135" s="666"/>
      <c r="C135" s="666"/>
      <c r="D135" s="666"/>
      <c r="E135" s="666"/>
      <c r="F135" s="666"/>
      <c r="G135" s="666"/>
      <c r="H135" s="666"/>
      <c r="I135" s="666"/>
      <c r="J135" s="666"/>
      <c r="K135" s="666"/>
      <c r="L135" s="666"/>
      <c r="M135" s="666"/>
      <c r="N135" s="666"/>
      <c r="O135" s="666"/>
      <c r="P135" s="333"/>
      <c r="Q135" s="333"/>
      <c r="R135" s="333"/>
      <c r="S135" s="333"/>
      <c r="T135" s="333"/>
    </row>
    <row r="136" spans="1:20" ht="43.9" customHeight="1" x14ac:dyDescent="0.25">
      <c r="A136" s="663" t="s">
        <v>892</v>
      </c>
      <c r="B136" s="663"/>
      <c r="C136" s="663"/>
      <c r="D136" s="663"/>
      <c r="E136" s="663"/>
      <c r="F136" s="663"/>
      <c r="G136" s="663"/>
      <c r="H136" s="663"/>
      <c r="I136" s="663"/>
      <c r="J136" s="663"/>
      <c r="K136" s="663"/>
      <c r="L136" s="663"/>
      <c r="M136" s="663"/>
      <c r="N136" s="663"/>
      <c r="O136" s="663"/>
      <c r="P136" s="332"/>
      <c r="Q136" s="332"/>
      <c r="R136" s="332"/>
      <c r="S136" s="332"/>
      <c r="T136" s="332"/>
    </row>
    <row r="137" spans="1:20" ht="7.9" customHeight="1" x14ac:dyDescent="0.25">
      <c r="A137" s="660"/>
      <c r="B137" s="660"/>
      <c r="C137" s="660"/>
      <c r="D137" s="660"/>
      <c r="E137" s="660"/>
      <c r="F137" s="660"/>
      <c r="G137" s="660"/>
      <c r="H137" s="660"/>
      <c r="I137" s="660"/>
      <c r="J137" s="660"/>
      <c r="K137" s="660"/>
      <c r="L137" s="660"/>
      <c r="M137" s="660"/>
      <c r="N137" s="660"/>
      <c r="O137" s="660"/>
      <c r="P137" s="330"/>
      <c r="Q137" s="330"/>
      <c r="R137" s="330"/>
      <c r="S137" s="330"/>
      <c r="T137" s="330"/>
    </row>
    <row r="138" spans="1:20" ht="22.15" customHeight="1" x14ac:dyDescent="0.25">
      <c r="A138" s="661" t="s">
        <v>894</v>
      </c>
      <c r="B138" s="661"/>
      <c r="C138" s="661"/>
      <c r="D138" s="661"/>
      <c r="E138" s="661"/>
      <c r="F138" s="661"/>
      <c r="G138" s="661"/>
      <c r="H138" s="661"/>
      <c r="I138" s="661"/>
      <c r="J138" s="661"/>
      <c r="K138" s="661"/>
      <c r="L138" s="661"/>
      <c r="M138" s="661"/>
      <c r="N138" s="661"/>
      <c r="O138" s="661"/>
      <c r="P138" s="331"/>
      <c r="Q138" s="331"/>
      <c r="R138" s="331"/>
      <c r="S138" s="331"/>
      <c r="T138" s="331"/>
    </row>
    <row r="139" spans="1:20" ht="43.15" customHeight="1" x14ac:dyDescent="0.25">
      <c r="A139" s="663" t="s">
        <v>895</v>
      </c>
      <c r="B139" s="663"/>
      <c r="C139" s="663"/>
      <c r="D139" s="663"/>
      <c r="E139" s="663"/>
      <c r="F139" s="663"/>
      <c r="G139" s="663"/>
      <c r="H139" s="663"/>
      <c r="I139" s="663"/>
      <c r="J139" s="663"/>
      <c r="K139" s="663"/>
      <c r="L139" s="663"/>
      <c r="M139" s="663"/>
      <c r="N139" s="663"/>
      <c r="O139" s="663"/>
      <c r="P139" s="332"/>
      <c r="Q139" s="332"/>
      <c r="R139" s="332"/>
      <c r="S139" s="332"/>
      <c r="T139" s="332"/>
    </row>
    <row r="140" spans="1:20" ht="72.599999999999994" customHeight="1" x14ac:dyDescent="0.25">
      <c r="A140" s="665" t="s">
        <v>896</v>
      </c>
      <c r="B140" s="666"/>
      <c r="C140" s="666"/>
      <c r="D140" s="666"/>
      <c r="E140" s="666"/>
      <c r="F140" s="666"/>
      <c r="G140" s="666"/>
      <c r="H140" s="666"/>
      <c r="I140" s="666"/>
      <c r="J140" s="666"/>
      <c r="K140" s="666"/>
      <c r="L140" s="666"/>
      <c r="M140" s="666"/>
      <c r="N140" s="666"/>
      <c r="O140" s="666"/>
      <c r="P140" s="333"/>
      <c r="Q140" s="333"/>
      <c r="R140" s="333"/>
      <c r="S140" s="333"/>
      <c r="T140" s="333"/>
    </row>
    <row r="141" spans="1:20" ht="72" customHeight="1" x14ac:dyDescent="0.25">
      <c r="A141" s="665" t="s">
        <v>897</v>
      </c>
      <c r="B141" s="666"/>
      <c r="C141" s="666"/>
      <c r="D141" s="666"/>
      <c r="E141" s="666"/>
      <c r="F141" s="666"/>
      <c r="G141" s="666"/>
      <c r="H141" s="666"/>
      <c r="I141" s="666"/>
      <c r="J141" s="666"/>
      <c r="K141" s="666"/>
      <c r="L141" s="666"/>
      <c r="M141" s="666"/>
      <c r="N141" s="666"/>
      <c r="O141" s="666"/>
      <c r="P141" s="333"/>
      <c r="Q141" s="333"/>
      <c r="R141" s="333"/>
      <c r="S141" s="333"/>
      <c r="T141" s="333"/>
    </row>
    <row r="142" spans="1:20" ht="56.45" customHeight="1" x14ac:dyDescent="0.25">
      <c r="A142" s="665" t="s">
        <v>608</v>
      </c>
      <c r="B142" s="666"/>
      <c r="C142" s="666"/>
      <c r="D142" s="666"/>
      <c r="E142" s="666"/>
      <c r="F142" s="666"/>
      <c r="G142" s="666"/>
      <c r="H142" s="666"/>
      <c r="I142" s="666"/>
      <c r="J142" s="666"/>
      <c r="K142" s="666"/>
      <c r="L142" s="666"/>
      <c r="M142" s="666"/>
      <c r="N142" s="666"/>
      <c r="O142" s="666"/>
      <c r="P142" s="333"/>
      <c r="Q142" s="333"/>
      <c r="R142" s="333"/>
      <c r="S142" s="333"/>
      <c r="T142" s="333"/>
    </row>
    <row r="143" spans="1:20" ht="33.6" customHeight="1" x14ac:dyDescent="0.25">
      <c r="A143" s="665" t="s">
        <v>899</v>
      </c>
      <c r="B143" s="666"/>
      <c r="C143" s="666"/>
      <c r="D143" s="666"/>
      <c r="E143" s="666"/>
      <c r="F143" s="666"/>
      <c r="G143" s="666"/>
      <c r="H143" s="666"/>
      <c r="I143" s="666"/>
      <c r="J143" s="666"/>
      <c r="K143" s="666"/>
      <c r="L143" s="666"/>
      <c r="M143" s="666"/>
      <c r="N143" s="666"/>
      <c r="O143" s="666"/>
      <c r="P143" s="333"/>
      <c r="Q143" s="333"/>
      <c r="R143" s="333"/>
      <c r="S143" s="333"/>
      <c r="T143" s="333"/>
    </row>
    <row r="144" spans="1:20" ht="30.6" customHeight="1" x14ac:dyDescent="0.25">
      <c r="A144" s="665" t="s">
        <v>898</v>
      </c>
      <c r="B144" s="666"/>
      <c r="C144" s="666"/>
      <c r="D144" s="666"/>
      <c r="E144" s="666"/>
      <c r="F144" s="666"/>
      <c r="G144" s="666"/>
      <c r="H144" s="666"/>
      <c r="I144" s="666"/>
      <c r="J144" s="666"/>
      <c r="K144" s="666"/>
      <c r="L144" s="666"/>
      <c r="M144" s="666"/>
      <c r="N144" s="666"/>
      <c r="O144" s="666"/>
      <c r="P144" s="330"/>
      <c r="Q144" s="330"/>
      <c r="R144" s="330"/>
      <c r="S144" s="330"/>
      <c r="T144" s="330"/>
    </row>
    <row r="145" spans="1:20" ht="7.9" customHeight="1" x14ac:dyDescent="0.25">
      <c r="A145" s="667"/>
      <c r="B145" s="668"/>
      <c r="C145" s="668"/>
      <c r="D145" s="668"/>
      <c r="E145" s="668"/>
      <c r="F145" s="668"/>
      <c r="G145" s="668"/>
      <c r="H145" s="668"/>
      <c r="I145" s="668"/>
      <c r="J145" s="668"/>
      <c r="K145" s="668"/>
      <c r="L145" s="668"/>
      <c r="M145" s="668"/>
      <c r="N145" s="668"/>
      <c r="O145" s="668"/>
      <c r="P145" s="330"/>
      <c r="Q145" s="330"/>
      <c r="R145" s="330"/>
      <c r="S145" s="330"/>
      <c r="T145" s="330"/>
    </row>
    <row r="146" spans="1:20" ht="22.15" customHeight="1" x14ac:dyDescent="0.25">
      <c r="A146" s="661" t="s">
        <v>900</v>
      </c>
      <c r="B146" s="661"/>
      <c r="C146" s="661"/>
      <c r="D146" s="661"/>
      <c r="E146" s="661"/>
      <c r="F146" s="661"/>
      <c r="G146" s="661"/>
      <c r="H146" s="661"/>
      <c r="I146" s="661"/>
      <c r="J146" s="661"/>
      <c r="K146" s="661"/>
      <c r="L146" s="661"/>
      <c r="M146" s="661"/>
      <c r="N146" s="661"/>
      <c r="O146" s="661"/>
      <c r="P146" s="331"/>
      <c r="Q146" s="331"/>
      <c r="R146" s="331"/>
      <c r="S146" s="331"/>
      <c r="T146" s="331"/>
    </row>
    <row r="147" spans="1:20" ht="57" customHeight="1" x14ac:dyDescent="0.25">
      <c r="A147" s="663" t="s">
        <v>609</v>
      </c>
      <c r="B147" s="663"/>
      <c r="C147" s="663"/>
      <c r="D147" s="663"/>
      <c r="E147" s="663"/>
      <c r="F147" s="663"/>
      <c r="G147" s="663"/>
      <c r="H147" s="663"/>
      <c r="I147" s="663"/>
      <c r="J147" s="663"/>
      <c r="K147" s="663"/>
      <c r="L147" s="663"/>
      <c r="M147" s="663"/>
      <c r="N147" s="663"/>
      <c r="O147" s="663"/>
      <c r="P147" s="332"/>
      <c r="Q147" s="332"/>
      <c r="R147" s="332"/>
      <c r="S147" s="332"/>
      <c r="T147" s="332"/>
    </row>
    <row r="148" spans="1:20" ht="72" customHeight="1" x14ac:dyDescent="0.25">
      <c r="A148" s="665" t="s">
        <v>902</v>
      </c>
      <c r="B148" s="666"/>
      <c r="C148" s="666"/>
      <c r="D148" s="666"/>
      <c r="E148" s="666"/>
      <c r="F148" s="666"/>
      <c r="G148" s="666"/>
      <c r="H148" s="666"/>
      <c r="I148" s="666"/>
      <c r="J148" s="666"/>
      <c r="K148" s="666"/>
      <c r="L148" s="666"/>
      <c r="M148" s="666"/>
      <c r="N148" s="666"/>
      <c r="O148" s="666"/>
      <c r="P148" s="333"/>
      <c r="Q148" s="333"/>
      <c r="R148" s="333"/>
      <c r="S148" s="333"/>
      <c r="T148" s="333"/>
    </row>
    <row r="149" spans="1:20" ht="73.150000000000006" customHeight="1" x14ac:dyDescent="0.25">
      <c r="A149" s="665" t="s">
        <v>610</v>
      </c>
      <c r="B149" s="666"/>
      <c r="C149" s="666"/>
      <c r="D149" s="666"/>
      <c r="E149" s="666"/>
      <c r="F149" s="666"/>
      <c r="G149" s="666"/>
      <c r="H149" s="666"/>
      <c r="I149" s="666"/>
      <c r="J149" s="666"/>
      <c r="K149" s="666"/>
      <c r="L149" s="666"/>
      <c r="M149" s="666"/>
      <c r="N149" s="666"/>
      <c r="O149" s="666"/>
      <c r="P149" s="333"/>
      <c r="Q149" s="333"/>
      <c r="R149" s="333"/>
      <c r="S149" s="333"/>
      <c r="T149" s="333"/>
    </row>
    <row r="150" spans="1:20" ht="47.45" customHeight="1" x14ac:dyDescent="0.25">
      <c r="A150" s="665" t="s">
        <v>492</v>
      </c>
      <c r="B150" s="666"/>
      <c r="C150" s="666"/>
      <c r="D150" s="666"/>
      <c r="E150" s="666"/>
      <c r="F150" s="666"/>
      <c r="G150" s="666"/>
      <c r="H150" s="666"/>
      <c r="I150" s="666"/>
      <c r="J150" s="666"/>
      <c r="K150" s="666"/>
      <c r="L150" s="666"/>
      <c r="M150" s="666"/>
      <c r="N150" s="666"/>
      <c r="O150" s="666"/>
      <c r="P150" s="333"/>
      <c r="Q150" s="333"/>
      <c r="R150" s="333"/>
      <c r="S150" s="333"/>
      <c r="T150" s="333"/>
    </row>
    <row r="151" spans="1:20" ht="31.15" customHeight="1" x14ac:dyDescent="0.25">
      <c r="A151" s="665" t="s">
        <v>903</v>
      </c>
      <c r="B151" s="666"/>
      <c r="C151" s="666"/>
      <c r="D151" s="666"/>
      <c r="E151" s="666"/>
      <c r="F151" s="666"/>
      <c r="G151" s="666"/>
      <c r="H151" s="666"/>
      <c r="I151" s="666"/>
      <c r="J151" s="666"/>
      <c r="K151" s="666"/>
      <c r="L151" s="666"/>
      <c r="M151" s="666"/>
      <c r="N151" s="666"/>
      <c r="O151" s="666"/>
      <c r="P151" s="333"/>
      <c r="Q151" s="333"/>
      <c r="R151" s="333"/>
      <c r="S151" s="333"/>
      <c r="T151" s="333"/>
    </row>
    <row r="152" spans="1:20" ht="32.450000000000003" customHeight="1" x14ac:dyDescent="0.25">
      <c r="A152" s="665" t="s">
        <v>901</v>
      </c>
      <c r="B152" s="666"/>
      <c r="C152" s="666"/>
      <c r="D152" s="666"/>
      <c r="E152" s="666"/>
      <c r="F152" s="666"/>
      <c r="G152" s="666"/>
      <c r="H152" s="666"/>
      <c r="I152" s="666"/>
      <c r="J152" s="666"/>
      <c r="K152" s="666"/>
      <c r="L152" s="666"/>
      <c r="M152" s="666"/>
      <c r="N152" s="666"/>
      <c r="O152" s="666"/>
    </row>
  </sheetData>
  <sheetProtection algorithmName="SHA-512" hashValue="WJdga4VJc/5iFwtrIoHpJrICppeeE/zAJwcxqdwoGbVVbvVMVg4LxDm2kYedML2e6JeprjUvc1CNFDk2XJJwbw==" saltValue="ApTsaevbc+en+mA05ekLng==" spinCount="100000" sheet="1" formatCells="0" formatColumns="0" formatRows="0"/>
  <mergeCells count="176">
    <mergeCell ref="A100:O100"/>
    <mergeCell ref="A101:O101"/>
    <mergeCell ref="A102:O102"/>
    <mergeCell ref="A104:O104"/>
    <mergeCell ref="A105:O105"/>
    <mergeCell ref="A118:O118"/>
    <mergeCell ref="G83:H83"/>
    <mergeCell ref="G84:H84"/>
    <mergeCell ref="G78:H79"/>
    <mergeCell ref="A84:B84"/>
    <mergeCell ref="E81:F81"/>
    <mergeCell ref="E82:F82"/>
    <mergeCell ref="E83:F83"/>
    <mergeCell ref="E84:F84"/>
    <mergeCell ref="E78:F78"/>
    <mergeCell ref="A78:B79"/>
    <mergeCell ref="A81:B81"/>
    <mergeCell ref="A82:B82"/>
    <mergeCell ref="A83:B83"/>
    <mergeCell ref="A77:H77"/>
    <mergeCell ref="A75:H75"/>
    <mergeCell ref="K70:M70"/>
    <mergeCell ref="K71:M71"/>
    <mergeCell ref="K73:M73"/>
    <mergeCell ref="K74:M74"/>
    <mergeCell ref="K72:M72"/>
    <mergeCell ref="K68:M68"/>
    <mergeCell ref="K69:M69"/>
    <mergeCell ref="E68:F68"/>
    <mergeCell ref="E69:F69"/>
    <mergeCell ref="E72:F72"/>
    <mergeCell ref="E73:F73"/>
    <mergeCell ref="E74:F74"/>
    <mergeCell ref="N68:N69"/>
    <mergeCell ref="A68:B69"/>
    <mergeCell ref="A67:N67"/>
    <mergeCell ref="G80:H80"/>
    <mergeCell ref="G81:H81"/>
    <mergeCell ref="G82:H82"/>
    <mergeCell ref="G72:H72"/>
    <mergeCell ref="G73:H73"/>
    <mergeCell ref="G74:H74"/>
    <mergeCell ref="I71:J71"/>
    <mergeCell ref="I72:J72"/>
    <mergeCell ref="I73:J73"/>
    <mergeCell ref="I74:J74"/>
    <mergeCell ref="G68:H68"/>
    <mergeCell ref="G69:H69"/>
    <mergeCell ref="I68:J68"/>
    <mergeCell ref="I69:J69"/>
    <mergeCell ref="E70:F70"/>
    <mergeCell ref="I70:J70"/>
    <mergeCell ref="E71:F71"/>
    <mergeCell ref="G70:H70"/>
    <mergeCell ref="G71:H71"/>
    <mergeCell ref="E79:F79"/>
    <mergeCell ref="E80:F80"/>
    <mergeCell ref="A2:D2"/>
    <mergeCell ref="A17:P17"/>
    <mergeCell ref="A4:A6"/>
    <mergeCell ref="B4:B6"/>
    <mergeCell ref="C4:C6"/>
    <mergeCell ref="D4:N4"/>
    <mergeCell ref="O4:O6"/>
    <mergeCell ref="D5:N5"/>
    <mergeCell ref="P13:T13"/>
    <mergeCell ref="P14:T14"/>
    <mergeCell ref="P15:T15"/>
    <mergeCell ref="P16:T16"/>
    <mergeCell ref="P27:R27"/>
    <mergeCell ref="P28:R28"/>
    <mergeCell ref="P29:R29"/>
    <mergeCell ref="P30:R30"/>
    <mergeCell ref="P31:R31"/>
    <mergeCell ref="P7:T7"/>
    <mergeCell ref="P6:T6"/>
    <mergeCell ref="P8:T8"/>
    <mergeCell ref="P9:T9"/>
    <mergeCell ref="P23:R23"/>
    <mergeCell ref="P24:R24"/>
    <mergeCell ref="P25:R25"/>
    <mergeCell ref="P26:R26"/>
    <mergeCell ref="P18:R18"/>
    <mergeCell ref="P19:R19"/>
    <mergeCell ref="P20:R20"/>
    <mergeCell ref="P21:R21"/>
    <mergeCell ref="P22:R22"/>
    <mergeCell ref="P37:R37"/>
    <mergeCell ref="P39:T39"/>
    <mergeCell ref="P40:S40"/>
    <mergeCell ref="P41:S41"/>
    <mergeCell ref="P42:S42"/>
    <mergeCell ref="P32:R32"/>
    <mergeCell ref="P33:R33"/>
    <mergeCell ref="P34:R34"/>
    <mergeCell ref="P35:R35"/>
    <mergeCell ref="P36:R36"/>
    <mergeCell ref="P48:T48"/>
    <mergeCell ref="P43:S43"/>
    <mergeCell ref="P44:S44"/>
    <mergeCell ref="P45:S45"/>
    <mergeCell ref="P46:T46"/>
    <mergeCell ref="P47:T47"/>
    <mergeCell ref="A99:O99"/>
    <mergeCell ref="P58:T58"/>
    <mergeCell ref="P59:T59"/>
    <mergeCell ref="P60:T60"/>
    <mergeCell ref="P61:T61"/>
    <mergeCell ref="P53:T53"/>
    <mergeCell ref="P54:T54"/>
    <mergeCell ref="P55:T55"/>
    <mergeCell ref="P56:T56"/>
    <mergeCell ref="P57:T57"/>
    <mergeCell ref="P62:T62"/>
    <mergeCell ref="P63:T63"/>
    <mergeCell ref="A74:B74"/>
    <mergeCell ref="A73:B73"/>
    <mergeCell ref="A72:B72"/>
    <mergeCell ref="A71:B71"/>
    <mergeCell ref="A70:B70"/>
    <mergeCell ref="A80:B80"/>
    <mergeCell ref="A120:O120"/>
    <mergeCell ref="A91:O91"/>
    <mergeCell ref="A122:O122"/>
    <mergeCell ref="A116:O116"/>
    <mergeCell ref="A117:O117"/>
    <mergeCell ref="A113:O113"/>
    <mergeCell ref="A114:O114"/>
    <mergeCell ref="A119:O119"/>
    <mergeCell ref="A106:O106"/>
    <mergeCell ref="A107:O107"/>
    <mergeCell ref="A108:O108"/>
    <mergeCell ref="A109:O109"/>
    <mergeCell ref="A115:O115"/>
    <mergeCell ref="A92:O92"/>
    <mergeCell ref="A93:O93"/>
    <mergeCell ref="A94:O94"/>
    <mergeCell ref="A95:O95"/>
    <mergeCell ref="A96:O96"/>
    <mergeCell ref="A103:O103"/>
    <mergeCell ref="A110:O110"/>
    <mergeCell ref="A111:O111"/>
    <mergeCell ref="A112:O112"/>
    <mergeCell ref="A97:O97"/>
    <mergeCell ref="A98:O98"/>
    <mergeCell ref="A134:O134"/>
    <mergeCell ref="A123:O123"/>
    <mergeCell ref="A125:O125"/>
    <mergeCell ref="A126:O126"/>
    <mergeCell ref="A127:O127"/>
    <mergeCell ref="A128:O128"/>
    <mergeCell ref="A129:O129"/>
    <mergeCell ref="A124:O124"/>
    <mergeCell ref="A121:O121"/>
    <mergeCell ref="A130:O130"/>
    <mergeCell ref="A131:O131"/>
    <mergeCell ref="A132:O132"/>
    <mergeCell ref="A133:O133"/>
    <mergeCell ref="A152:O152"/>
    <mergeCell ref="A144:O144"/>
    <mergeCell ref="A149:O149"/>
    <mergeCell ref="A150:O150"/>
    <mergeCell ref="A151:O151"/>
    <mergeCell ref="A140:O140"/>
    <mergeCell ref="A141:O141"/>
    <mergeCell ref="A142:O142"/>
    <mergeCell ref="A143:O143"/>
    <mergeCell ref="A135:O135"/>
    <mergeCell ref="A136:O136"/>
    <mergeCell ref="A137:O137"/>
    <mergeCell ref="A138:O138"/>
    <mergeCell ref="A139:O139"/>
    <mergeCell ref="A146:O146"/>
    <mergeCell ref="A147:O147"/>
    <mergeCell ref="A148:O148"/>
    <mergeCell ref="A145:O145"/>
  </mergeCells>
  <pageMargins left="0.7" right="0.7" top="0.75" bottom="0.75" header="0.3" footer="0.3"/>
  <pageSetup scale="67" orientation="landscape" r:id="rId1"/>
  <headerFooter>
    <oddHeader>&amp;RPage &amp;P</oddHeader>
    <oddFooter>&amp;CPage &amp;P of &amp;N</oddFooter>
  </headerFooter>
  <rowBreaks count="1" manualBreakCount="1">
    <brk id="37"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FFFF99"/>
  </sheetPr>
  <dimension ref="A1:DX719"/>
  <sheetViews>
    <sheetView zoomScale="70" zoomScaleNormal="70" zoomScalePageLayoutView="90" workbookViewId="0"/>
  </sheetViews>
  <sheetFormatPr defaultColWidth="7.140625" defaultRowHeight="15" x14ac:dyDescent="0.25"/>
  <cols>
    <col min="1" max="1" width="7.140625" style="7"/>
    <col min="2" max="2" width="10.42578125" customWidth="1"/>
    <col min="3" max="3" width="0.7109375" customWidth="1"/>
    <col min="4" max="8" width="10.7109375" customWidth="1"/>
    <col min="9" max="9" width="0.7109375" customWidth="1"/>
    <col min="10" max="13" width="10.7109375" customWidth="1"/>
    <col min="14" max="14" width="8.28515625" customWidth="1"/>
    <col min="15" max="15" width="5.28515625" style="7" customWidth="1"/>
    <col min="16" max="16" width="7.140625" style="7"/>
    <col min="17" max="17" width="10.42578125" customWidth="1"/>
    <col min="18" max="18" width="0.7109375" customWidth="1"/>
    <col min="19" max="23" width="10.7109375" customWidth="1"/>
    <col min="24" max="24" width="0.7109375" customWidth="1"/>
    <col min="25" max="28" width="10.7109375" customWidth="1"/>
    <col min="29" max="29" width="8.28515625" customWidth="1"/>
    <col min="30" max="30" width="5.28515625" style="7" customWidth="1"/>
    <col min="31" max="31" width="7.140625" style="7"/>
    <col min="32" max="32" width="10.42578125" customWidth="1"/>
    <col min="33" max="33" width="0.7109375" customWidth="1"/>
    <col min="34" max="38" width="10.7109375" customWidth="1"/>
    <col min="39" max="39" width="0.7109375" customWidth="1"/>
    <col min="40" max="43" width="10.7109375" customWidth="1"/>
    <col min="44" max="44" width="8.28515625" customWidth="1"/>
    <col min="45" max="45" width="5.28515625" style="7" customWidth="1"/>
    <col min="46" max="128" width="7.140625" style="7"/>
  </cols>
  <sheetData>
    <row r="1" spans="2:44" x14ac:dyDescent="0.25">
      <c r="B1" s="7"/>
      <c r="C1" s="7"/>
      <c r="D1" s="7"/>
      <c r="E1" s="7"/>
      <c r="F1" s="7"/>
      <c r="G1" s="7"/>
      <c r="H1" s="7"/>
      <c r="I1" s="7"/>
      <c r="J1" s="7"/>
      <c r="K1" s="7"/>
      <c r="L1" s="7"/>
      <c r="M1" s="7"/>
      <c r="N1" s="2" t="str">
        <f>General!$A$4</f>
        <v>Spreadsheets for Environmental Footprint Analysis (SEFA) Version 3.0, November 2019</v>
      </c>
      <c r="Q1" s="7"/>
      <c r="R1" s="7"/>
      <c r="S1" s="7"/>
      <c r="T1" s="7"/>
      <c r="U1" s="7"/>
      <c r="V1" s="7"/>
      <c r="W1" s="7"/>
      <c r="X1" s="7"/>
      <c r="Y1" s="7"/>
      <c r="Z1" s="7"/>
      <c r="AA1" s="7"/>
      <c r="AB1" s="7"/>
      <c r="AC1" s="2" t="str">
        <f>General!$A$4</f>
        <v>Spreadsheets for Environmental Footprint Analysis (SEFA) Version 3.0, November 2019</v>
      </c>
      <c r="AF1" s="7"/>
      <c r="AG1" s="7"/>
      <c r="AH1" s="7"/>
      <c r="AI1" s="7"/>
      <c r="AJ1" s="7"/>
      <c r="AK1" s="7"/>
      <c r="AL1" s="7"/>
      <c r="AM1" s="7"/>
      <c r="AN1" s="7"/>
      <c r="AO1" s="7"/>
      <c r="AP1" s="7"/>
      <c r="AQ1" s="7"/>
      <c r="AR1" s="2" t="str">
        <f>General!$A$4</f>
        <v>Spreadsheets for Environmental Footprint Analysis (SEFA) Version 3.0, November 2019</v>
      </c>
    </row>
    <row r="2" spans="2:44" x14ac:dyDescent="0.25">
      <c r="B2" s="7"/>
      <c r="C2" s="7"/>
      <c r="D2" s="7"/>
      <c r="E2" s="7"/>
      <c r="F2" s="7"/>
      <c r="G2" s="7"/>
      <c r="H2" s="7"/>
      <c r="I2" s="7"/>
      <c r="J2" s="7"/>
      <c r="K2" s="7"/>
      <c r="L2" s="7"/>
      <c r="M2" s="7"/>
      <c r="N2" s="2" t="e">
        <f ca="1">CONCATENATE(General!$A3," - ", General!$A6)</f>
        <v>#REF!</v>
      </c>
      <c r="Q2" s="7"/>
      <c r="R2" s="7"/>
      <c r="S2" s="7"/>
      <c r="T2" s="7"/>
      <c r="U2" s="7"/>
      <c r="V2" s="7"/>
      <c r="W2" s="7"/>
      <c r="X2" s="7"/>
      <c r="Y2" s="7"/>
      <c r="Z2" s="7"/>
      <c r="AA2" s="7"/>
      <c r="AB2" s="7"/>
      <c r="AC2" s="2" t="e">
        <f ca="1">CONCATENATE(General!$A3," - ", General!$A6)</f>
        <v>#REF!</v>
      </c>
      <c r="AF2" s="7"/>
      <c r="AG2" s="7"/>
      <c r="AH2" s="7"/>
      <c r="AI2" s="7"/>
      <c r="AJ2" s="7"/>
      <c r="AK2" s="7"/>
      <c r="AL2" s="7"/>
      <c r="AM2" s="7"/>
      <c r="AN2" s="7"/>
      <c r="AO2" s="7"/>
      <c r="AP2" s="7"/>
      <c r="AQ2" s="7"/>
      <c r="AR2" s="2" t="e">
        <f ca="1">CONCATENATE(General!$A3," - ", General!$A6)</f>
        <v>#REF!</v>
      </c>
    </row>
    <row r="3" spans="2:44" ht="15.75" x14ac:dyDescent="0.25">
      <c r="B3" s="239" t="s">
        <v>322</v>
      </c>
      <c r="Q3" s="239" t="s">
        <v>325</v>
      </c>
      <c r="AF3" s="239" t="s">
        <v>330</v>
      </c>
    </row>
    <row r="5" spans="2:44" ht="44.45" customHeight="1" x14ac:dyDescent="0.25">
      <c r="B5" s="746" t="s">
        <v>398</v>
      </c>
      <c r="C5" s="747"/>
      <c r="D5" s="747"/>
      <c r="E5" s="747"/>
      <c r="F5" s="747"/>
      <c r="G5" s="747"/>
      <c r="H5" s="747"/>
      <c r="I5" s="747"/>
      <c r="J5" s="747"/>
      <c r="K5" s="747"/>
      <c r="L5" s="747"/>
      <c r="M5" s="748"/>
      <c r="N5" s="135"/>
      <c r="Q5" s="746" t="s">
        <v>398</v>
      </c>
      <c r="R5" s="747"/>
      <c r="S5" s="747"/>
      <c r="T5" s="747"/>
      <c r="U5" s="747"/>
      <c r="V5" s="747"/>
      <c r="W5" s="747"/>
      <c r="X5" s="747"/>
      <c r="Y5" s="747"/>
      <c r="Z5" s="747"/>
      <c r="AA5" s="747"/>
      <c r="AB5" s="748"/>
      <c r="AC5" s="135"/>
      <c r="AF5" s="746" t="s">
        <v>398</v>
      </c>
      <c r="AG5" s="747"/>
      <c r="AH5" s="747"/>
      <c r="AI5" s="747"/>
      <c r="AJ5" s="747"/>
      <c r="AK5" s="747"/>
      <c r="AL5" s="747"/>
      <c r="AM5" s="747"/>
      <c r="AN5" s="747"/>
      <c r="AO5" s="747"/>
      <c r="AP5" s="747"/>
      <c r="AQ5" s="748"/>
      <c r="AR5" s="135"/>
    </row>
    <row r="7" spans="2:44" x14ac:dyDescent="0.25">
      <c r="B7" t="s">
        <v>323</v>
      </c>
      <c r="Q7" t="s">
        <v>324</v>
      </c>
      <c r="AF7" t="s">
        <v>331</v>
      </c>
    </row>
    <row r="8" spans="2:44" x14ac:dyDescent="0.25">
      <c r="B8" s="749"/>
      <c r="C8" s="750"/>
      <c r="D8" s="750"/>
      <c r="E8" s="750"/>
      <c r="F8" s="750"/>
      <c r="G8" s="750"/>
      <c r="H8" s="750"/>
      <c r="I8" s="750"/>
      <c r="J8" s="750"/>
      <c r="K8" s="750"/>
      <c r="L8" s="750"/>
      <c r="M8" s="750"/>
      <c r="N8" s="751"/>
      <c r="Q8" s="749"/>
      <c r="R8" s="750"/>
      <c r="S8" s="750"/>
      <c r="T8" s="750"/>
      <c r="U8" s="750"/>
      <c r="V8" s="750"/>
      <c r="W8" s="750"/>
      <c r="X8" s="750"/>
      <c r="Y8" s="750"/>
      <c r="Z8" s="750"/>
      <c r="AA8" s="750"/>
      <c r="AB8" s="750"/>
      <c r="AC8" s="751"/>
      <c r="AF8" s="749"/>
      <c r="AG8" s="750"/>
      <c r="AH8" s="750"/>
      <c r="AI8" s="750"/>
      <c r="AJ8" s="750"/>
      <c r="AK8" s="750"/>
      <c r="AL8" s="750"/>
      <c r="AM8" s="750"/>
      <c r="AN8" s="750"/>
      <c r="AO8" s="750"/>
      <c r="AP8" s="750"/>
      <c r="AQ8" s="750"/>
      <c r="AR8" s="751"/>
    </row>
    <row r="9" spans="2:44" x14ac:dyDescent="0.25">
      <c r="B9" s="752"/>
      <c r="C9" s="753"/>
      <c r="D9" s="753"/>
      <c r="E9" s="753"/>
      <c r="F9" s="753"/>
      <c r="G9" s="753"/>
      <c r="H9" s="753"/>
      <c r="I9" s="753"/>
      <c r="J9" s="753"/>
      <c r="K9" s="753"/>
      <c r="L9" s="753"/>
      <c r="M9" s="753"/>
      <c r="N9" s="754"/>
      <c r="Q9" s="752"/>
      <c r="R9" s="753"/>
      <c r="S9" s="753"/>
      <c r="T9" s="753"/>
      <c r="U9" s="753"/>
      <c r="V9" s="753"/>
      <c r="W9" s="753"/>
      <c r="X9" s="753"/>
      <c r="Y9" s="753"/>
      <c r="Z9" s="753"/>
      <c r="AA9" s="753"/>
      <c r="AB9" s="753"/>
      <c r="AC9" s="754"/>
      <c r="AF9" s="752"/>
      <c r="AG9" s="753"/>
      <c r="AH9" s="753"/>
      <c r="AI9" s="753"/>
      <c r="AJ9" s="753"/>
      <c r="AK9" s="753"/>
      <c r="AL9" s="753"/>
      <c r="AM9" s="753"/>
      <c r="AN9" s="753"/>
      <c r="AO9" s="753"/>
      <c r="AP9" s="753"/>
      <c r="AQ9" s="753"/>
      <c r="AR9" s="754"/>
    </row>
    <row r="10" spans="2:44" ht="15.75" thickBot="1" x14ac:dyDescent="0.3"/>
    <row r="11" spans="2:44" ht="21" customHeight="1" thickBot="1" x14ac:dyDescent="0.3">
      <c r="B11" s="755" t="s">
        <v>326</v>
      </c>
      <c r="C11" s="756"/>
      <c r="D11" s="756"/>
      <c r="E11" s="756"/>
      <c r="F11" s="756"/>
      <c r="G11" s="757"/>
      <c r="J11" s="758" t="s">
        <v>327</v>
      </c>
      <c r="K11" s="759"/>
      <c r="L11" s="759"/>
      <c r="M11" s="759"/>
      <c r="N11" s="760"/>
      <c r="Q11" s="755" t="s">
        <v>328</v>
      </c>
      <c r="R11" s="756"/>
      <c r="S11" s="756"/>
      <c r="T11" s="756"/>
      <c r="U11" s="756"/>
      <c r="V11" s="757"/>
      <c r="Y11" s="758" t="s">
        <v>329</v>
      </c>
      <c r="Z11" s="759"/>
      <c r="AA11" s="759"/>
      <c r="AB11" s="759"/>
      <c r="AC11" s="760"/>
      <c r="AF11" s="755" t="s">
        <v>332</v>
      </c>
      <c r="AG11" s="756"/>
      <c r="AH11" s="756"/>
      <c r="AI11" s="756"/>
      <c r="AJ11" s="756"/>
      <c r="AK11" s="757"/>
      <c r="AN11" s="758" t="s">
        <v>333</v>
      </c>
      <c r="AO11" s="759"/>
      <c r="AP11" s="759"/>
      <c r="AQ11" s="759"/>
      <c r="AR11" s="760"/>
    </row>
    <row r="12" spans="2:44" ht="18" customHeight="1" x14ac:dyDescent="0.25">
      <c r="B12" s="761" t="s">
        <v>244</v>
      </c>
      <c r="C12" s="762"/>
      <c r="D12" s="762"/>
      <c r="E12" s="762"/>
      <c r="F12" s="763"/>
      <c r="G12" s="764"/>
      <c r="J12" s="726" t="s">
        <v>255</v>
      </c>
      <c r="K12" s="727"/>
      <c r="L12" s="727"/>
      <c r="M12" s="241" t="str">
        <f>IFERROR(IF(F12="Above Ground Riser",(INDEX(D25:H30,MATCH(F17,B25:B30,0),MATCH(F13,D24:H24,0))*(F14-F16+F18)*F19),(INDEX(D25:H30,MATCH(F17,B25:B30,0),MATCH(F13,D24:H24,0))*(F14-F16)*F19)),"")</f>
        <v/>
      </c>
      <c r="N12" s="242" t="s">
        <v>313</v>
      </c>
      <c r="Q12" s="761" t="s">
        <v>244</v>
      </c>
      <c r="R12" s="762"/>
      <c r="S12" s="762"/>
      <c r="T12" s="762"/>
      <c r="U12" s="763"/>
      <c r="V12" s="764"/>
      <c r="Y12" s="726" t="s">
        <v>255</v>
      </c>
      <c r="Z12" s="727"/>
      <c r="AA12" s="727"/>
      <c r="AB12" s="241" t="str">
        <f>IFERROR(IF(U12="Above Ground Riser",(INDEX(S25:W30,MATCH(U17,Q25:Q30,0),MATCH(U13,S24:W24,0))*(U14-U16+U18)*U19),(INDEX(S25:W30,MATCH(U17,Q25:Q30,0),MATCH(U13,S24:W24,0))*(U14-U16)*U19)),"")</f>
        <v/>
      </c>
      <c r="AC12" s="242" t="s">
        <v>313</v>
      </c>
      <c r="AF12" s="761" t="s">
        <v>244</v>
      </c>
      <c r="AG12" s="762"/>
      <c r="AH12" s="762"/>
      <c r="AI12" s="762"/>
      <c r="AJ12" s="763"/>
      <c r="AK12" s="764"/>
      <c r="AN12" s="726" t="s">
        <v>255</v>
      </c>
      <c r="AO12" s="727"/>
      <c r="AP12" s="727"/>
      <c r="AQ12" s="241" t="str">
        <f>IFERROR(IF(AJ12="Above Ground Riser",(INDEX(AH25:AL30,MATCH(AJ17,AF25:AF30,0),MATCH(AJ13,AH24:AL24,0))*(AJ14-AJ16+AJ18)*AJ19),(INDEX(AH25:AL30,MATCH(AJ17,AF25:AF30,0),MATCH(AJ13,AH24:AL24,0))*(AJ14-AJ16)*AJ19)),"")</f>
        <v/>
      </c>
      <c r="AR12" s="242" t="s">
        <v>313</v>
      </c>
    </row>
    <row r="13" spans="2:44" ht="18" customHeight="1" x14ac:dyDescent="0.25">
      <c r="B13" s="723" t="s">
        <v>245</v>
      </c>
      <c r="C13" s="507"/>
      <c r="D13" s="507"/>
      <c r="E13" s="507"/>
      <c r="F13" s="735"/>
      <c r="G13" s="736"/>
      <c r="H13" s="177"/>
      <c r="I13" s="177"/>
      <c r="J13" s="739" t="s">
        <v>318</v>
      </c>
      <c r="K13" s="740"/>
      <c r="L13" s="740"/>
      <c r="M13" s="240" t="str">
        <f>IFERROR(INDEX(D25:H30,MATCH(F17,B25:B30,0),MATCH(F13,D24:H24,0))*(F16)*F19,"")</f>
        <v/>
      </c>
      <c r="N13" s="243" t="s">
        <v>313</v>
      </c>
      <c r="Q13" s="723" t="s">
        <v>245</v>
      </c>
      <c r="R13" s="507"/>
      <c r="S13" s="507"/>
      <c r="T13" s="507"/>
      <c r="U13" s="735"/>
      <c r="V13" s="736"/>
      <c r="W13" s="177"/>
      <c r="X13" s="177"/>
      <c r="Y13" s="739" t="s">
        <v>318</v>
      </c>
      <c r="Z13" s="740"/>
      <c r="AA13" s="740"/>
      <c r="AB13" s="240" t="str">
        <f>IFERROR(INDEX(S25:W30,MATCH(U17,Q25:Q30,0),MATCH(U13,S24:W24,0))*(U16)*U19,"")</f>
        <v/>
      </c>
      <c r="AC13" s="243" t="s">
        <v>313</v>
      </c>
      <c r="AF13" s="723" t="s">
        <v>245</v>
      </c>
      <c r="AG13" s="507"/>
      <c r="AH13" s="507"/>
      <c r="AI13" s="507"/>
      <c r="AJ13" s="735"/>
      <c r="AK13" s="736"/>
      <c r="AL13" s="177"/>
      <c r="AM13" s="177"/>
      <c r="AN13" s="739" t="s">
        <v>318</v>
      </c>
      <c r="AO13" s="740"/>
      <c r="AP13" s="740"/>
      <c r="AQ13" s="240" t="str">
        <f>IFERROR(INDEX(AH25:AL30,MATCH(AJ17,AF25:AF30,0),MATCH(AJ13,AH24:AL24,0))*(AJ16)*AJ19,"")</f>
        <v/>
      </c>
      <c r="AR13" s="243" t="s">
        <v>313</v>
      </c>
    </row>
    <row r="14" spans="2:44" ht="19.149999999999999" customHeight="1" x14ac:dyDescent="0.25">
      <c r="B14" s="765" t="s">
        <v>298</v>
      </c>
      <c r="C14" s="518"/>
      <c r="D14" s="518"/>
      <c r="E14" s="518"/>
      <c r="F14" s="724"/>
      <c r="G14" s="725"/>
      <c r="H14" s="177"/>
      <c r="I14" s="177"/>
      <c r="J14" s="739" t="s">
        <v>319</v>
      </c>
      <c r="K14" s="740"/>
      <c r="L14" s="740"/>
      <c r="M14" s="240" t="str">
        <f>IFERROR((INDEX(J25:J30,MATCH(F17,B25:B30,0))*(F14-F16)*F19),"")</f>
        <v/>
      </c>
      <c r="N14" s="243" t="s">
        <v>313</v>
      </c>
      <c r="Q14" s="765" t="s">
        <v>298</v>
      </c>
      <c r="R14" s="518"/>
      <c r="S14" s="518"/>
      <c r="T14" s="518"/>
      <c r="U14" s="724"/>
      <c r="V14" s="725"/>
      <c r="W14" s="177"/>
      <c r="X14" s="177"/>
      <c r="Y14" s="739" t="s">
        <v>319</v>
      </c>
      <c r="Z14" s="740"/>
      <c r="AA14" s="740"/>
      <c r="AB14" s="240" t="str">
        <f>IFERROR((INDEX(Y25:Y30,MATCH(U17,Q25:Q30,0))*(U14-U16)*U19),"")</f>
        <v/>
      </c>
      <c r="AC14" s="243" t="s">
        <v>313</v>
      </c>
      <c r="AF14" s="765" t="s">
        <v>298</v>
      </c>
      <c r="AG14" s="518"/>
      <c r="AH14" s="518"/>
      <c r="AI14" s="518"/>
      <c r="AJ14" s="724"/>
      <c r="AK14" s="725"/>
      <c r="AL14" s="177"/>
      <c r="AM14" s="177"/>
      <c r="AN14" s="739" t="s">
        <v>319</v>
      </c>
      <c r="AO14" s="740"/>
      <c r="AP14" s="740"/>
      <c r="AQ14" s="240" t="str">
        <f>IFERROR((INDEX(AN25:AN30,MATCH(AJ17,AF25:AF30,0))*(AJ14-AJ16)*AJ19),"")</f>
        <v/>
      </c>
      <c r="AR14" s="243" t="s">
        <v>313</v>
      </c>
    </row>
    <row r="15" spans="2:44" ht="19.149999999999999" customHeight="1" x14ac:dyDescent="0.25">
      <c r="B15" s="765"/>
      <c r="C15" s="518"/>
      <c r="D15" s="518"/>
      <c r="E15" s="518"/>
      <c r="F15" s="724"/>
      <c r="G15" s="725"/>
      <c r="H15" s="177"/>
      <c r="I15" s="177"/>
      <c r="J15" s="739" t="s">
        <v>314</v>
      </c>
      <c r="K15" s="740"/>
      <c r="L15" s="740"/>
      <c r="M15" s="240" t="str">
        <f>IFERROR(M14*(6/94)," ")</f>
        <v xml:space="preserve"> </v>
      </c>
      <c r="N15" s="243" t="s">
        <v>312</v>
      </c>
      <c r="Q15" s="765"/>
      <c r="R15" s="518"/>
      <c r="S15" s="518"/>
      <c r="T15" s="518"/>
      <c r="U15" s="724"/>
      <c r="V15" s="725"/>
      <c r="W15" s="177"/>
      <c r="X15" s="177"/>
      <c r="Y15" s="739" t="s">
        <v>314</v>
      </c>
      <c r="Z15" s="740"/>
      <c r="AA15" s="740"/>
      <c r="AB15" s="240" t="str">
        <f>IFERROR(AB14*(6/94)," ")</f>
        <v xml:space="preserve"> </v>
      </c>
      <c r="AC15" s="243" t="s">
        <v>312</v>
      </c>
      <c r="AF15" s="765"/>
      <c r="AG15" s="518"/>
      <c r="AH15" s="518"/>
      <c r="AI15" s="518"/>
      <c r="AJ15" s="724"/>
      <c r="AK15" s="725"/>
      <c r="AL15" s="177"/>
      <c r="AM15" s="177"/>
      <c r="AN15" s="739" t="s">
        <v>314</v>
      </c>
      <c r="AO15" s="740"/>
      <c r="AP15" s="740"/>
      <c r="AQ15" s="240" t="str">
        <f>IFERROR(AQ14*(6/94)," ")</f>
        <v xml:space="preserve"> </v>
      </c>
      <c r="AR15" s="243" t="s">
        <v>312</v>
      </c>
    </row>
    <row r="16" spans="2:44" ht="18" customHeight="1" thickBot="1" x14ac:dyDescent="0.3">
      <c r="B16" s="741" t="s">
        <v>906</v>
      </c>
      <c r="C16" s="742"/>
      <c r="D16" s="742"/>
      <c r="E16" s="743"/>
      <c r="F16" s="744"/>
      <c r="G16" s="745"/>
      <c r="J16" s="732" t="s">
        <v>320</v>
      </c>
      <c r="K16" s="733"/>
      <c r="L16" s="733"/>
      <c r="M16" s="244" t="str">
        <f>IFERROR((INDEX(L25:L30,MATCH(F17,B25:B30,0))*(F16)*F19),"")</f>
        <v/>
      </c>
      <c r="N16" s="245" t="s">
        <v>313</v>
      </c>
      <c r="Q16" s="741" t="s">
        <v>246</v>
      </c>
      <c r="R16" s="742"/>
      <c r="S16" s="742"/>
      <c r="T16" s="743"/>
      <c r="U16" s="744"/>
      <c r="V16" s="745"/>
      <c r="Y16" s="732" t="s">
        <v>320</v>
      </c>
      <c r="Z16" s="733"/>
      <c r="AA16" s="733"/>
      <c r="AB16" s="244" t="str">
        <f>IFERROR((INDEX(AA25:AA30,MATCH(U17,Q25:Q30,0))*(U16)*U19),"")</f>
        <v/>
      </c>
      <c r="AC16" s="245" t="s">
        <v>313</v>
      </c>
      <c r="AF16" s="741" t="s">
        <v>246</v>
      </c>
      <c r="AG16" s="742"/>
      <c r="AH16" s="742"/>
      <c r="AI16" s="743"/>
      <c r="AJ16" s="744"/>
      <c r="AK16" s="745"/>
      <c r="AN16" s="732" t="s">
        <v>320</v>
      </c>
      <c r="AO16" s="733"/>
      <c r="AP16" s="733"/>
      <c r="AQ16" s="244" t="str">
        <f>IFERROR((INDEX(AP25:AP30,MATCH(AJ17,AF25:AF30,0))*(AJ16)*AJ19),"")</f>
        <v/>
      </c>
      <c r="AR16" s="245" t="s">
        <v>313</v>
      </c>
    </row>
    <row r="17" spans="2:44" ht="18" customHeight="1" thickBot="1" x14ac:dyDescent="0.3">
      <c r="B17" s="723" t="s">
        <v>273</v>
      </c>
      <c r="C17" s="507"/>
      <c r="D17" s="507"/>
      <c r="E17" s="507"/>
      <c r="F17" s="735"/>
      <c r="G17" s="736"/>
      <c r="J17" s="737" t="s">
        <v>321</v>
      </c>
      <c r="K17" s="738"/>
      <c r="L17" s="738"/>
      <c r="M17" s="246" t="str">
        <f>IFERROR((INDEX(M25:M30,MATCH(F17,B25:B30,0))*(F14)*F19),"")</f>
        <v/>
      </c>
      <c r="N17" s="247" t="s">
        <v>313</v>
      </c>
      <c r="Q17" s="723" t="s">
        <v>273</v>
      </c>
      <c r="R17" s="507"/>
      <c r="S17" s="507"/>
      <c r="T17" s="507"/>
      <c r="U17" s="735"/>
      <c r="V17" s="736"/>
      <c r="Y17" s="737" t="s">
        <v>321</v>
      </c>
      <c r="Z17" s="738"/>
      <c r="AA17" s="738"/>
      <c r="AB17" s="246" t="str">
        <f>IFERROR((INDEX(AB25:AB30,MATCH(U17,Q25:Q30,0))*(U14)*U19),"")</f>
        <v/>
      </c>
      <c r="AC17" s="247" t="s">
        <v>313</v>
      </c>
      <c r="AF17" s="723" t="s">
        <v>273</v>
      </c>
      <c r="AG17" s="507"/>
      <c r="AH17" s="507"/>
      <c r="AI17" s="507"/>
      <c r="AJ17" s="735"/>
      <c r="AK17" s="736"/>
      <c r="AN17" s="737" t="s">
        <v>321</v>
      </c>
      <c r="AO17" s="738"/>
      <c r="AP17" s="738"/>
      <c r="AQ17" s="246" t="str">
        <f>IFERROR((INDEX(AQ25:AQ30,MATCH(AJ17,AF25:AF30,0))*(AJ14)*AJ19),"")</f>
        <v/>
      </c>
      <c r="AR17" s="247" t="s">
        <v>313</v>
      </c>
    </row>
    <row r="18" spans="2:44" ht="18" customHeight="1" x14ac:dyDescent="0.25">
      <c r="B18" s="723" t="s">
        <v>272</v>
      </c>
      <c r="C18" s="507"/>
      <c r="D18" s="507"/>
      <c r="E18" s="507"/>
      <c r="F18" s="724"/>
      <c r="G18" s="725"/>
      <c r="J18" s="726" t="s">
        <v>315</v>
      </c>
      <c r="K18" s="727"/>
      <c r="L18" s="727"/>
      <c r="M18" s="241" t="str">
        <f>IFERROR((INDEX(K25:K30,MATCH(F17,B25:B30,0))*F14*F19),"")</f>
        <v/>
      </c>
      <c r="N18" s="242" t="s">
        <v>313</v>
      </c>
      <c r="Q18" s="723" t="s">
        <v>272</v>
      </c>
      <c r="R18" s="507"/>
      <c r="S18" s="507"/>
      <c r="T18" s="507"/>
      <c r="U18" s="724"/>
      <c r="V18" s="725"/>
      <c r="Y18" s="726" t="s">
        <v>315</v>
      </c>
      <c r="Z18" s="727"/>
      <c r="AA18" s="727"/>
      <c r="AB18" s="241" t="str">
        <f>IFERROR((INDEX(Z25:Z30,MATCH(U17,Q25:Q30,0))*U14*U19),"")</f>
        <v/>
      </c>
      <c r="AC18" s="242" t="s">
        <v>313</v>
      </c>
      <c r="AF18" s="723" t="s">
        <v>272</v>
      </c>
      <c r="AG18" s="507"/>
      <c r="AH18" s="507"/>
      <c r="AI18" s="507"/>
      <c r="AJ18" s="724"/>
      <c r="AK18" s="725"/>
      <c r="AN18" s="726" t="s">
        <v>315</v>
      </c>
      <c r="AO18" s="727"/>
      <c r="AP18" s="727"/>
      <c r="AQ18" s="241" t="str">
        <f>IFERROR((INDEX(AO25:AO30,MATCH(AJ17,AF25:AF30,0))*AJ14*AJ19),"")</f>
        <v/>
      </c>
      <c r="AR18" s="242" t="s">
        <v>313</v>
      </c>
    </row>
    <row r="19" spans="2:44" ht="18" customHeight="1" thickBot="1" x14ac:dyDescent="0.3">
      <c r="B19" s="728" t="s">
        <v>306</v>
      </c>
      <c r="C19" s="729"/>
      <c r="D19" s="729"/>
      <c r="E19" s="729"/>
      <c r="F19" s="730"/>
      <c r="G19" s="731"/>
      <c r="J19" s="732" t="s">
        <v>316</v>
      </c>
      <c r="K19" s="733"/>
      <c r="L19" s="733"/>
      <c r="M19" s="244" t="str">
        <f>IFERROR(M18*(6/94)," ")</f>
        <v xml:space="preserve"> </v>
      </c>
      <c r="N19" s="245" t="s">
        <v>312</v>
      </c>
      <c r="Q19" s="728" t="s">
        <v>306</v>
      </c>
      <c r="R19" s="729"/>
      <c r="S19" s="729"/>
      <c r="T19" s="729"/>
      <c r="U19" s="730"/>
      <c r="V19" s="731"/>
      <c r="Y19" s="732" t="s">
        <v>316</v>
      </c>
      <c r="Z19" s="733"/>
      <c r="AA19" s="733"/>
      <c r="AB19" s="244" t="str">
        <f>IFERROR(AB18*(6/94)," ")</f>
        <v xml:space="preserve"> </v>
      </c>
      <c r="AC19" s="245" t="s">
        <v>312</v>
      </c>
      <c r="AF19" s="728" t="s">
        <v>306</v>
      </c>
      <c r="AG19" s="729"/>
      <c r="AH19" s="729"/>
      <c r="AI19" s="729"/>
      <c r="AJ19" s="730"/>
      <c r="AK19" s="731"/>
      <c r="AN19" s="732" t="s">
        <v>316</v>
      </c>
      <c r="AO19" s="733"/>
      <c r="AP19" s="733"/>
      <c r="AQ19" s="244" t="str">
        <f>IFERROR(AQ18*(6/94)," ")</f>
        <v xml:space="preserve"> </v>
      </c>
      <c r="AR19" s="245" t="s">
        <v>312</v>
      </c>
    </row>
    <row r="20" spans="2:44" x14ac:dyDescent="0.25">
      <c r="J20" s="178"/>
      <c r="Y20" s="178"/>
      <c r="AN20" s="178"/>
    </row>
    <row r="21" spans="2:44" ht="15.75" x14ac:dyDescent="0.25">
      <c r="D21" s="239" t="s">
        <v>307</v>
      </c>
      <c r="S21" s="239" t="s">
        <v>307</v>
      </c>
      <c r="AH21" s="239" t="s">
        <v>307</v>
      </c>
    </row>
    <row r="22" spans="2:44" ht="9" customHeight="1" thickBot="1" x14ac:dyDescent="0.3">
      <c r="D22" s="239"/>
      <c r="S22" s="239"/>
      <c r="AH22" s="239"/>
    </row>
    <row r="23" spans="2:44" ht="15.75" thickBot="1" x14ac:dyDescent="0.3">
      <c r="D23" s="716" t="s">
        <v>256</v>
      </c>
      <c r="E23" s="717"/>
      <c r="F23" s="717"/>
      <c r="G23" s="717"/>
      <c r="H23" s="717"/>
      <c r="I23" s="717"/>
      <c r="J23" s="717"/>
      <c r="K23" s="717"/>
      <c r="L23" s="717"/>
      <c r="M23" s="718"/>
      <c r="S23" s="716" t="s">
        <v>256</v>
      </c>
      <c r="T23" s="717"/>
      <c r="U23" s="717"/>
      <c r="V23" s="717"/>
      <c r="W23" s="717"/>
      <c r="X23" s="717"/>
      <c r="Y23" s="717"/>
      <c r="Z23" s="717"/>
      <c r="AA23" s="717"/>
      <c r="AB23" s="718"/>
      <c r="AH23" s="716" t="s">
        <v>256</v>
      </c>
      <c r="AI23" s="717"/>
      <c r="AJ23" s="717"/>
      <c r="AK23" s="717"/>
      <c r="AL23" s="717"/>
      <c r="AM23" s="717"/>
      <c r="AN23" s="717"/>
      <c r="AO23" s="717"/>
      <c r="AP23" s="717"/>
      <c r="AQ23" s="718"/>
    </row>
    <row r="24" spans="2:44" ht="60.75" thickBot="1" x14ac:dyDescent="0.3">
      <c r="B24" s="179" t="s">
        <v>248</v>
      </c>
      <c r="C24" s="180"/>
      <c r="D24" s="181" t="s">
        <v>254</v>
      </c>
      <c r="E24" s="182" t="s">
        <v>257</v>
      </c>
      <c r="F24" s="182" t="s">
        <v>258</v>
      </c>
      <c r="G24" s="182" t="s">
        <v>259</v>
      </c>
      <c r="H24" s="183" t="s">
        <v>260</v>
      </c>
      <c r="I24" s="180"/>
      <c r="J24" s="181" t="s">
        <v>308</v>
      </c>
      <c r="K24" s="182" t="s">
        <v>309</v>
      </c>
      <c r="L24" s="182" t="s">
        <v>310</v>
      </c>
      <c r="M24" s="183" t="s">
        <v>311</v>
      </c>
      <c r="Q24" s="179" t="s">
        <v>248</v>
      </c>
      <c r="R24" s="180"/>
      <c r="S24" s="181" t="s">
        <v>254</v>
      </c>
      <c r="T24" s="182" t="s">
        <v>257</v>
      </c>
      <c r="U24" s="182" t="s">
        <v>258</v>
      </c>
      <c r="V24" s="182" t="s">
        <v>259</v>
      </c>
      <c r="W24" s="183" t="s">
        <v>260</v>
      </c>
      <c r="X24" s="180"/>
      <c r="Y24" s="181" t="s">
        <v>308</v>
      </c>
      <c r="Z24" s="182" t="s">
        <v>309</v>
      </c>
      <c r="AA24" s="182" t="s">
        <v>310</v>
      </c>
      <c r="AB24" s="183" t="s">
        <v>311</v>
      </c>
      <c r="AF24" s="179" t="s">
        <v>248</v>
      </c>
      <c r="AG24" s="180"/>
      <c r="AH24" s="181" t="s">
        <v>254</v>
      </c>
      <c r="AI24" s="182" t="s">
        <v>257</v>
      </c>
      <c r="AJ24" s="182" t="s">
        <v>258</v>
      </c>
      <c r="AK24" s="182" t="s">
        <v>259</v>
      </c>
      <c r="AL24" s="183" t="s">
        <v>260</v>
      </c>
      <c r="AM24" s="180"/>
      <c r="AN24" s="181" t="s">
        <v>308</v>
      </c>
      <c r="AO24" s="182" t="s">
        <v>309</v>
      </c>
      <c r="AP24" s="182" t="s">
        <v>310</v>
      </c>
      <c r="AQ24" s="183" t="s">
        <v>311</v>
      </c>
    </row>
    <row r="25" spans="2:44" x14ac:dyDescent="0.25">
      <c r="B25" s="184" t="s">
        <v>249</v>
      </c>
      <c r="C25" s="185"/>
      <c r="D25" s="186">
        <v>0.69</v>
      </c>
      <c r="E25" s="187">
        <v>0.94</v>
      </c>
      <c r="F25" s="187">
        <v>3.65</v>
      </c>
      <c r="G25" s="187">
        <v>5.0199999999999996</v>
      </c>
      <c r="H25" s="152"/>
      <c r="I25" s="185"/>
      <c r="J25" s="186">
        <v>13</v>
      </c>
      <c r="K25" s="187">
        <v>2</v>
      </c>
      <c r="L25" s="187">
        <v>19</v>
      </c>
      <c r="M25" s="188">
        <v>22</v>
      </c>
      <c r="Q25" s="184" t="s">
        <v>249</v>
      </c>
      <c r="R25" s="185"/>
      <c r="S25" s="186">
        <v>0.69</v>
      </c>
      <c r="T25" s="187">
        <v>0.94</v>
      </c>
      <c r="U25" s="187">
        <v>3.65</v>
      </c>
      <c r="V25" s="187">
        <v>5.0199999999999996</v>
      </c>
      <c r="W25" s="152"/>
      <c r="X25" s="185"/>
      <c r="Y25" s="186">
        <v>13</v>
      </c>
      <c r="Z25" s="187">
        <v>2</v>
      </c>
      <c r="AA25" s="187">
        <v>19</v>
      </c>
      <c r="AB25" s="188">
        <v>22</v>
      </c>
      <c r="AF25" s="184" t="s">
        <v>249</v>
      </c>
      <c r="AG25" s="185"/>
      <c r="AH25" s="186">
        <v>0.69</v>
      </c>
      <c r="AI25" s="187">
        <v>0.94</v>
      </c>
      <c r="AJ25" s="187">
        <v>3.65</v>
      </c>
      <c r="AK25" s="187">
        <v>5.0199999999999996</v>
      </c>
      <c r="AL25" s="152"/>
      <c r="AM25" s="185"/>
      <c r="AN25" s="186">
        <v>13</v>
      </c>
      <c r="AO25" s="187">
        <v>2</v>
      </c>
      <c r="AP25" s="187">
        <v>19</v>
      </c>
      <c r="AQ25" s="188">
        <v>22</v>
      </c>
    </row>
    <row r="26" spans="2:44" x14ac:dyDescent="0.25">
      <c r="B26" s="189" t="s">
        <v>250</v>
      </c>
      <c r="C26" s="79"/>
      <c r="D26" s="190">
        <v>2.0299999999999998</v>
      </c>
      <c r="E26" s="76">
        <v>2.82</v>
      </c>
      <c r="F26" s="76">
        <v>10.79</v>
      </c>
      <c r="G26" s="76">
        <v>14.98</v>
      </c>
      <c r="H26" s="153"/>
      <c r="I26" s="79"/>
      <c r="J26" s="190">
        <v>19</v>
      </c>
      <c r="K26" s="76">
        <v>6</v>
      </c>
      <c r="L26" s="76">
        <v>29</v>
      </c>
      <c r="M26" s="191">
        <v>39</v>
      </c>
      <c r="Q26" s="189" t="s">
        <v>250</v>
      </c>
      <c r="R26" s="79"/>
      <c r="S26" s="190">
        <v>2.0299999999999998</v>
      </c>
      <c r="T26" s="76">
        <v>2.82</v>
      </c>
      <c r="U26" s="76">
        <v>10.79</v>
      </c>
      <c r="V26" s="76">
        <v>14.98</v>
      </c>
      <c r="W26" s="153"/>
      <c r="X26" s="79"/>
      <c r="Y26" s="190">
        <v>19</v>
      </c>
      <c r="Z26" s="76">
        <v>6</v>
      </c>
      <c r="AA26" s="76">
        <v>29</v>
      </c>
      <c r="AB26" s="191">
        <v>39</v>
      </c>
      <c r="AF26" s="189" t="s">
        <v>250</v>
      </c>
      <c r="AG26" s="79"/>
      <c r="AH26" s="190">
        <v>2.0299999999999998</v>
      </c>
      <c r="AI26" s="76">
        <v>2.82</v>
      </c>
      <c r="AJ26" s="76">
        <v>10.79</v>
      </c>
      <c r="AK26" s="76">
        <v>14.98</v>
      </c>
      <c r="AL26" s="153"/>
      <c r="AM26" s="79"/>
      <c r="AN26" s="190">
        <v>19</v>
      </c>
      <c r="AO26" s="76">
        <v>6</v>
      </c>
      <c r="AP26" s="76">
        <v>29</v>
      </c>
      <c r="AQ26" s="191">
        <v>39</v>
      </c>
    </row>
    <row r="27" spans="2:44" x14ac:dyDescent="0.25">
      <c r="B27" s="192" t="s">
        <v>251</v>
      </c>
      <c r="C27" s="193"/>
      <c r="D27" s="194">
        <v>3.58</v>
      </c>
      <c r="E27" s="195">
        <v>5.38</v>
      </c>
      <c r="F27" s="195">
        <v>18.97</v>
      </c>
      <c r="G27" s="195">
        <v>28.57</v>
      </c>
      <c r="H27" s="153"/>
      <c r="I27" s="193"/>
      <c r="J27" s="194">
        <v>25</v>
      </c>
      <c r="K27" s="195">
        <v>14</v>
      </c>
      <c r="L27" s="195">
        <v>39</v>
      </c>
      <c r="M27" s="196">
        <v>61</v>
      </c>
      <c r="Q27" s="192" t="s">
        <v>251</v>
      </c>
      <c r="R27" s="193"/>
      <c r="S27" s="194">
        <v>3.58</v>
      </c>
      <c r="T27" s="195">
        <v>5.38</v>
      </c>
      <c r="U27" s="195">
        <v>18.97</v>
      </c>
      <c r="V27" s="195">
        <v>28.57</v>
      </c>
      <c r="W27" s="153"/>
      <c r="X27" s="193"/>
      <c r="Y27" s="194">
        <v>25</v>
      </c>
      <c r="Z27" s="195">
        <v>14</v>
      </c>
      <c r="AA27" s="195">
        <v>39</v>
      </c>
      <c r="AB27" s="196">
        <v>61</v>
      </c>
      <c r="AF27" s="192" t="s">
        <v>251</v>
      </c>
      <c r="AG27" s="193"/>
      <c r="AH27" s="194">
        <v>3.58</v>
      </c>
      <c r="AI27" s="195">
        <v>5.38</v>
      </c>
      <c r="AJ27" s="195">
        <v>18.97</v>
      </c>
      <c r="AK27" s="195">
        <v>28.57</v>
      </c>
      <c r="AL27" s="153"/>
      <c r="AM27" s="193"/>
      <c r="AN27" s="194">
        <v>25</v>
      </c>
      <c r="AO27" s="195">
        <v>14</v>
      </c>
      <c r="AP27" s="195">
        <v>39</v>
      </c>
      <c r="AQ27" s="196">
        <v>61</v>
      </c>
    </row>
    <row r="28" spans="2:44" x14ac:dyDescent="0.25">
      <c r="B28" s="189" t="s">
        <v>247</v>
      </c>
      <c r="C28" s="79"/>
      <c r="D28" s="190">
        <v>5.39</v>
      </c>
      <c r="E28" s="76">
        <v>8.18</v>
      </c>
      <c r="F28" s="76">
        <v>28.55</v>
      </c>
      <c r="G28" s="76">
        <v>43.39</v>
      </c>
      <c r="H28" s="153"/>
      <c r="I28" s="79"/>
      <c r="J28" s="190">
        <v>32</v>
      </c>
      <c r="K28" s="76">
        <v>25</v>
      </c>
      <c r="L28" s="76">
        <v>48</v>
      </c>
      <c r="M28" s="191">
        <v>87</v>
      </c>
      <c r="Q28" s="189" t="s">
        <v>247</v>
      </c>
      <c r="R28" s="79"/>
      <c r="S28" s="190">
        <v>5.39</v>
      </c>
      <c r="T28" s="76">
        <v>8.18</v>
      </c>
      <c r="U28" s="76">
        <v>28.55</v>
      </c>
      <c r="V28" s="76">
        <v>43.39</v>
      </c>
      <c r="W28" s="153"/>
      <c r="X28" s="79"/>
      <c r="Y28" s="190">
        <v>32</v>
      </c>
      <c r="Z28" s="76">
        <v>25</v>
      </c>
      <c r="AA28" s="76">
        <v>48</v>
      </c>
      <c r="AB28" s="191">
        <v>87</v>
      </c>
      <c r="AF28" s="189" t="s">
        <v>247</v>
      </c>
      <c r="AG28" s="79"/>
      <c r="AH28" s="190">
        <v>5.39</v>
      </c>
      <c r="AI28" s="76">
        <v>8.18</v>
      </c>
      <c r="AJ28" s="76">
        <v>28.55</v>
      </c>
      <c r="AK28" s="76">
        <v>43.39</v>
      </c>
      <c r="AL28" s="153"/>
      <c r="AM28" s="79"/>
      <c r="AN28" s="190">
        <v>32</v>
      </c>
      <c r="AO28" s="76">
        <v>25</v>
      </c>
      <c r="AP28" s="76">
        <v>48</v>
      </c>
      <c r="AQ28" s="191">
        <v>87</v>
      </c>
    </row>
    <row r="29" spans="2:44" x14ac:dyDescent="0.25">
      <c r="B29" s="192" t="s">
        <v>252</v>
      </c>
      <c r="C29" s="193"/>
      <c r="D29" s="194">
        <v>7.64</v>
      </c>
      <c r="E29" s="195">
        <v>12.1</v>
      </c>
      <c r="F29" s="195">
        <v>40.479999999999997</v>
      </c>
      <c r="G29" s="195">
        <v>64.430000000000007</v>
      </c>
      <c r="H29" s="153"/>
      <c r="I29" s="193"/>
      <c r="J29" s="194">
        <v>38</v>
      </c>
      <c r="K29" s="195">
        <v>40</v>
      </c>
      <c r="L29" s="195">
        <v>58</v>
      </c>
      <c r="M29" s="196">
        <v>119</v>
      </c>
      <c r="Q29" s="192" t="s">
        <v>252</v>
      </c>
      <c r="R29" s="193"/>
      <c r="S29" s="194">
        <v>7.64</v>
      </c>
      <c r="T29" s="195">
        <v>12.1</v>
      </c>
      <c r="U29" s="195">
        <v>40.479999999999997</v>
      </c>
      <c r="V29" s="195">
        <v>64.430000000000007</v>
      </c>
      <c r="W29" s="153"/>
      <c r="X29" s="193"/>
      <c r="Y29" s="194">
        <v>38</v>
      </c>
      <c r="Z29" s="195">
        <v>40</v>
      </c>
      <c r="AA29" s="195">
        <v>58</v>
      </c>
      <c r="AB29" s="196">
        <v>119</v>
      </c>
      <c r="AF29" s="192" t="s">
        <v>252</v>
      </c>
      <c r="AG29" s="193"/>
      <c r="AH29" s="194">
        <v>7.64</v>
      </c>
      <c r="AI29" s="195">
        <v>12.1</v>
      </c>
      <c r="AJ29" s="195">
        <v>40.479999999999997</v>
      </c>
      <c r="AK29" s="195">
        <v>64.430000000000007</v>
      </c>
      <c r="AL29" s="153"/>
      <c r="AM29" s="193"/>
      <c r="AN29" s="194">
        <v>38</v>
      </c>
      <c r="AO29" s="195">
        <v>40</v>
      </c>
      <c r="AP29" s="195">
        <v>58</v>
      </c>
      <c r="AQ29" s="196">
        <v>119</v>
      </c>
    </row>
    <row r="30" spans="2:44" ht="15.75" thickBot="1" x14ac:dyDescent="0.3">
      <c r="B30" s="197" t="s">
        <v>253</v>
      </c>
      <c r="C30" s="198"/>
      <c r="D30" s="199">
        <v>10.1</v>
      </c>
      <c r="E30" s="200">
        <v>16.7</v>
      </c>
      <c r="F30" s="200">
        <v>53.52</v>
      </c>
      <c r="G30" s="200">
        <v>88.63</v>
      </c>
      <c r="H30" s="154"/>
      <c r="I30" s="198"/>
      <c r="J30" s="199">
        <v>45</v>
      </c>
      <c r="K30" s="200">
        <v>57</v>
      </c>
      <c r="L30" s="200">
        <v>68</v>
      </c>
      <c r="M30" s="201">
        <v>155</v>
      </c>
      <c r="Q30" s="197" t="s">
        <v>253</v>
      </c>
      <c r="R30" s="198"/>
      <c r="S30" s="199">
        <v>10.1</v>
      </c>
      <c r="T30" s="200">
        <v>16.7</v>
      </c>
      <c r="U30" s="200">
        <v>53.52</v>
      </c>
      <c r="V30" s="200">
        <v>88.63</v>
      </c>
      <c r="W30" s="154"/>
      <c r="X30" s="198"/>
      <c r="Y30" s="199">
        <v>45</v>
      </c>
      <c r="Z30" s="200">
        <v>57</v>
      </c>
      <c r="AA30" s="200">
        <v>68</v>
      </c>
      <c r="AB30" s="201">
        <v>155</v>
      </c>
      <c r="AF30" s="197" t="s">
        <v>253</v>
      </c>
      <c r="AG30" s="198"/>
      <c r="AH30" s="199">
        <v>10.1</v>
      </c>
      <c r="AI30" s="200">
        <v>16.7</v>
      </c>
      <c r="AJ30" s="200">
        <v>53.52</v>
      </c>
      <c r="AK30" s="200">
        <v>88.63</v>
      </c>
      <c r="AL30" s="154"/>
      <c r="AM30" s="198"/>
      <c r="AN30" s="199">
        <v>45</v>
      </c>
      <c r="AO30" s="200">
        <v>57</v>
      </c>
      <c r="AP30" s="200">
        <v>68</v>
      </c>
      <c r="AQ30" s="201">
        <v>155</v>
      </c>
    </row>
    <row r="31" spans="2:44" ht="46.15" customHeight="1" x14ac:dyDescent="0.25">
      <c r="D31" s="734" t="s">
        <v>268</v>
      </c>
      <c r="E31" s="734"/>
      <c r="F31" s="734"/>
      <c r="G31" s="734"/>
      <c r="H31" s="734"/>
      <c r="I31" s="734"/>
      <c r="J31" s="734"/>
      <c r="K31" s="734"/>
      <c r="L31" s="734"/>
      <c r="M31" s="734"/>
      <c r="S31" s="734" t="s">
        <v>268</v>
      </c>
      <c r="T31" s="734"/>
      <c r="U31" s="734"/>
      <c r="V31" s="734"/>
      <c r="W31" s="734"/>
      <c r="X31" s="734"/>
      <c r="Y31" s="734"/>
      <c r="Z31" s="734"/>
      <c r="AA31" s="734"/>
      <c r="AB31" s="734"/>
      <c r="AH31" s="734" t="s">
        <v>268</v>
      </c>
      <c r="AI31" s="734"/>
      <c r="AJ31" s="734"/>
      <c r="AK31" s="734"/>
      <c r="AL31" s="734"/>
      <c r="AM31" s="734"/>
      <c r="AN31" s="734"/>
      <c r="AO31" s="734"/>
      <c r="AP31" s="734"/>
      <c r="AQ31" s="734"/>
    </row>
    <row r="32" spans="2:44" ht="14.45" customHeight="1" x14ac:dyDescent="0.25">
      <c r="D32" s="203"/>
      <c r="E32" s="203"/>
      <c r="F32" s="203"/>
      <c r="G32" s="203"/>
      <c r="H32" s="203"/>
      <c r="I32" s="203"/>
      <c r="J32" s="203"/>
      <c r="K32" s="203"/>
      <c r="L32" s="203"/>
      <c r="M32" s="203"/>
      <c r="S32" s="203"/>
      <c r="T32" s="203"/>
      <c r="U32" s="203"/>
      <c r="V32" s="203"/>
      <c r="W32" s="203"/>
      <c r="X32" s="203"/>
      <c r="Y32" s="203"/>
      <c r="Z32" s="203"/>
      <c r="AA32" s="203"/>
      <c r="AB32" s="203"/>
      <c r="AH32" s="203"/>
      <c r="AI32" s="203"/>
      <c r="AJ32" s="203"/>
      <c r="AK32" s="203"/>
      <c r="AL32" s="203"/>
      <c r="AM32" s="203"/>
      <c r="AN32" s="203"/>
      <c r="AO32" s="203"/>
      <c r="AP32" s="203"/>
      <c r="AQ32" s="203"/>
    </row>
    <row r="33" spans="2:43" ht="152.44999999999999" customHeight="1" x14ac:dyDescent="0.25">
      <c r="C33" s="202"/>
      <c r="D33" s="719" t="s">
        <v>531</v>
      </c>
      <c r="E33" s="720"/>
      <c r="F33" s="720"/>
      <c r="G33" s="720"/>
      <c r="H33" s="720"/>
      <c r="I33" s="720"/>
      <c r="J33" s="720"/>
      <c r="K33" s="720"/>
      <c r="L33" s="720"/>
      <c r="M33" s="721"/>
      <c r="R33" s="202"/>
      <c r="S33" s="719" t="s">
        <v>531</v>
      </c>
      <c r="T33" s="720"/>
      <c r="U33" s="720"/>
      <c r="V33" s="720"/>
      <c r="W33" s="720"/>
      <c r="X33" s="720"/>
      <c r="Y33" s="720"/>
      <c r="Z33" s="720"/>
      <c r="AA33" s="720"/>
      <c r="AB33" s="721"/>
      <c r="AG33" s="202"/>
      <c r="AH33" s="719" t="s">
        <v>531</v>
      </c>
      <c r="AI33" s="720"/>
      <c r="AJ33" s="720"/>
      <c r="AK33" s="720"/>
      <c r="AL33" s="720"/>
      <c r="AM33" s="720"/>
      <c r="AN33" s="720"/>
      <c r="AO33" s="720"/>
      <c r="AP33" s="720"/>
      <c r="AQ33" s="721"/>
    </row>
    <row r="34" spans="2:43" x14ac:dyDescent="0.25">
      <c r="B34" s="202"/>
      <c r="C34" s="202"/>
      <c r="D34" s="50"/>
      <c r="E34" s="50"/>
      <c r="F34" s="50"/>
      <c r="G34" s="50"/>
      <c r="H34" s="50"/>
      <c r="I34" s="50"/>
      <c r="J34" s="50"/>
      <c r="K34" s="50"/>
      <c r="L34" s="50"/>
      <c r="M34" s="50"/>
      <c r="Q34" s="202"/>
      <c r="R34" s="202"/>
      <c r="S34" s="50"/>
      <c r="T34" s="50"/>
      <c r="U34" s="50"/>
      <c r="V34" s="50"/>
      <c r="W34" s="50"/>
      <c r="X34" s="50"/>
      <c r="Y34" s="50"/>
      <c r="Z34" s="50"/>
      <c r="AA34" s="50"/>
      <c r="AB34" s="50"/>
      <c r="AF34" s="202"/>
      <c r="AG34" s="202"/>
      <c r="AH34" s="50"/>
      <c r="AI34" s="50"/>
      <c r="AJ34" s="50"/>
      <c r="AK34" s="50"/>
      <c r="AL34" s="50"/>
      <c r="AM34" s="50"/>
      <c r="AN34" s="50"/>
      <c r="AO34" s="50"/>
      <c r="AP34" s="50"/>
      <c r="AQ34" s="50"/>
    </row>
    <row r="35" spans="2:43" ht="113.45" customHeight="1" x14ac:dyDescent="0.25">
      <c r="D35" s="722" t="s">
        <v>317</v>
      </c>
      <c r="E35" s="720"/>
      <c r="F35" s="720"/>
      <c r="G35" s="720"/>
      <c r="H35" s="720"/>
      <c r="I35" s="720"/>
      <c r="J35" s="720"/>
      <c r="K35" s="720"/>
      <c r="L35" s="720"/>
      <c r="M35" s="721"/>
      <c r="S35" s="722" t="s">
        <v>317</v>
      </c>
      <c r="T35" s="720"/>
      <c r="U35" s="720"/>
      <c r="V35" s="720"/>
      <c r="W35" s="720"/>
      <c r="X35" s="720"/>
      <c r="Y35" s="720"/>
      <c r="Z35" s="720"/>
      <c r="AA35" s="720"/>
      <c r="AB35" s="721"/>
      <c r="AH35" s="722" t="s">
        <v>317</v>
      </c>
      <c r="AI35" s="720"/>
      <c r="AJ35" s="720"/>
      <c r="AK35" s="720"/>
      <c r="AL35" s="720"/>
      <c r="AM35" s="720"/>
      <c r="AN35" s="720"/>
      <c r="AO35" s="720"/>
      <c r="AP35" s="720"/>
      <c r="AQ35" s="721"/>
    </row>
    <row r="36" spans="2:43" s="7" customFormat="1" x14ac:dyDescent="0.25">
      <c r="D36" s="396"/>
      <c r="E36" s="396"/>
      <c r="F36" s="396"/>
      <c r="G36" s="396"/>
      <c r="H36" s="396"/>
      <c r="I36" s="396"/>
      <c r="J36" s="396"/>
      <c r="K36" s="396"/>
      <c r="L36" s="396"/>
      <c r="M36" s="396"/>
      <c r="S36" s="396"/>
      <c r="T36" s="396"/>
      <c r="U36" s="396"/>
      <c r="V36" s="396"/>
      <c r="W36" s="396"/>
      <c r="X36" s="396"/>
      <c r="Y36" s="396"/>
      <c r="Z36" s="396"/>
      <c r="AA36" s="396"/>
      <c r="AB36" s="396"/>
      <c r="AH36" s="396"/>
      <c r="AI36" s="396"/>
      <c r="AJ36" s="396"/>
      <c r="AK36" s="396"/>
      <c r="AL36" s="396"/>
      <c r="AM36" s="396"/>
      <c r="AN36" s="396"/>
      <c r="AO36" s="396"/>
      <c r="AP36" s="396"/>
      <c r="AQ36" s="396"/>
    </row>
    <row r="37" spans="2:43" s="7" customFormat="1" x14ac:dyDescent="0.25">
      <c r="D37" s="396"/>
      <c r="E37" s="396"/>
      <c r="F37" s="396"/>
      <c r="G37" s="396"/>
      <c r="H37" s="396"/>
      <c r="I37" s="396"/>
      <c r="J37" s="396"/>
      <c r="K37" s="396"/>
      <c r="L37" s="396"/>
      <c r="M37" s="396"/>
      <c r="S37" s="396"/>
      <c r="T37" s="396"/>
      <c r="U37" s="396"/>
      <c r="V37" s="396"/>
      <c r="W37" s="396"/>
      <c r="X37" s="396"/>
      <c r="Y37" s="396"/>
      <c r="Z37" s="396"/>
      <c r="AA37" s="396"/>
      <c r="AB37" s="396"/>
      <c r="AH37" s="396"/>
      <c r="AI37" s="396"/>
      <c r="AJ37" s="396"/>
      <c r="AK37" s="396"/>
      <c r="AL37" s="396"/>
      <c r="AM37" s="396"/>
      <c r="AN37" s="396"/>
      <c r="AO37" s="396"/>
      <c r="AP37" s="396"/>
      <c r="AQ37" s="396"/>
    </row>
    <row r="38" spans="2:43" s="7" customFormat="1" x14ac:dyDescent="0.25">
      <c r="D38" s="396"/>
      <c r="E38" s="396"/>
      <c r="F38" s="396"/>
      <c r="G38" s="396"/>
      <c r="H38" s="396"/>
      <c r="I38" s="396"/>
      <c r="J38" s="396"/>
      <c r="K38" s="396"/>
      <c r="L38" s="396"/>
      <c r="M38" s="396"/>
      <c r="S38" s="396"/>
      <c r="T38" s="396"/>
      <c r="U38" s="396"/>
      <c r="V38" s="396"/>
      <c r="W38" s="396"/>
      <c r="X38" s="396"/>
      <c r="Y38" s="396"/>
      <c r="Z38" s="396"/>
      <c r="AA38" s="396"/>
      <c r="AB38" s="396"/>
      <c r="AH38" s="396"/>
      <c r="AI38" s="396"/>
      <c r="AJ38" s="396"/>
      <c r="AK38" s="396"/>
      <c r="AL38" s="396"/>
      <c r="AM38" s="396"/>
      <c r="AN38" s="396"/>
      <c r="AO38" s="396"/>
      <c r="AP38" s="396"/>
      <c r="AQ38" s="396"/>
    </row>
    <row r="39" spans="2:43" s="7" customFormat="1" x14ac:dyDescent="0.25">
      <c r="D39" s="396"/>
      <c r="E39" s="396"/>
      <c r="F39" s="396"/>
      <c r="G39" s="396"/>
      <c r="H39" s="396"/>
      <c r="I39" s="396"/>
      <c r="J39" s="396"/>
      <c r="K39" s="396"/>
      <c r="L39" s="396"/>
      <c r="M39" s="396"/>
      <c r="S39" s="396"/>
      <c r="T39" s="396"/>
      <c r="U39" s="396"/>
      <c r="V39" s="396"/>
      <c r="W39" s="396"/>
      <c r="X39" s="396"/>
      <c r="Y39" s="396"/>
      <c r="Z39" s="396"/>
      <c r="AA39" s="396"/>
      <c r="AB39" s="396"/>
      <c r="AH39" s="396"/>
      <c r="AI39" s="396"/>
      <c r="AJ39" s="396"/>
      <c r="AK39" s="396"/>
      <c r="AL39" s="396"/>
      <c r="AM39" s="396"/>
      <c r="AN39" s="396"/>
      <c r="AO39" s="396"/>
      <c r="AP39" s="396"/>
      <c r="AQ39" s="396"/>
    </row>
    <row r="40" spans="2:43" s="7" customFormat="1" x14ac:dyDescent="0.25">
      <c r="D40" s="396"/>
      <c r="E40" s="396"/>
      <c r="F40" s="396"/>
      <c r="G40" s="396"/>
      <c r="H40" s="396"/>
      <c r="I40" s="396"/>
      <c r="J40" s="396"/>
      <c r="K40" s="396"/>
      <c r="L40" s="396"/>
      <c r="M40" s="396"/>
      <c r="S40" s="396"/>
      <c r="T40" s="396"/>
      <c r="U40" s="396"/>
      <c r="V40" s="396"/>
      <c r="W40" s="396"/>
      <c r="X40" s="396"/>
      <c r="Y40" s="396"/>
      <c r="Z40" s="396"/>
      <c r="AA40" s="396"/>
      <c r="AB40" s="396"/>
      <c r="AH40" s="396"/>
      <c r="AI40" s="396"/>
      <c r="AJ40" s="396"/>
      <c r="AK40" s="396"/>
      <c r="AL40" s="396"/>
      <c r="AM40" s="396"/>
      <c r="AN40" s="396"/>
      <c r="AO40" s="396"/>
      <c r="AP40" s="396"/>
      <c r="AQ40" s="396"/>
    </row>
    <row r="41" spans="2:43" s="7" customFormat="1" x14ac:dyDescent="0.25">
      <c r="D41" s="396"/>
      <c r="E41" s="396"/>
      <c r="F41" s="396"/>
      <c r="G41" s="396"/>
      <c r="H41" s="396"/>
      <c r="I41" s="396"/>
      <c r="J41" s="396"/>
      <c r="K41" s="396"/>
      <c r="L41" s="396"/>
      <c r="M41" s="396"/>
      <c r="S41" s="396"/>
      <c r="T41" s="396"/>
      <c r="U41" s="396"/>
      <c r="V41" s="396"/>
      <c r="W41" s="396"/>
      <c r="X41" s="396"/>
      <c r="Y41" s="396"/>
      <c r="Z41" s="396"/>
      <c r="AA41" s="396"/>
      <c r="AB41" s="396"/>
      <c r="AH41" s="396"/>
      <c r="AI41" s="396"/>
      <c r="AJ41" s="396"/>
      <c r="AK41" s="396"/>
      <c r="AL41" s="396"/>
      <c r="AM41" s="396"/>
      <c r="AN41" s="396"/>
      <c r="AO41" s="396"/>
      <c r="AP41" s="396"/>
      <c r="AQ41" s="396"/>
    </row>
    <row r="42" spans="2:43" s="7" customFormat="1" x14ac:dyDescent="0.25"/>
    <row r="43" spans="2:43" s="7" customFormat="1" x14ac:dyDescent="0.25"/>
    <row r="44" spans="2:43" s="7" customFormat="1" x14ac:dyDescent="0.25"/>
    <row r="45" spans="2:43" s="7" customFormat="1" x14ac:dyDescent="0.25"/>
    <row r="46" spans="2:43" s="7" customFormat="1" x14ac:dyDescent="0.25"/>
    <row r="47" spans="2:43" s="7" customFormat="1" x14ac:dyDescent="0.25"/>
    <row r="48" spans="2:43"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sheetData>
  <sheetProtection algorithmName="SHA-512" hashValue="yW8E9Rsng/XvO3TXeIIbdYJDK0QD6yZ5kAsHThIlkzs1kl152xGQGIu81IqExbQ8NQIbX4Hkf51AtI1nroe6Ww==" saltValue="+sBjwmehxeBzjOpwDTT4dw==" spinCount="100000" sheet="1" formatCells="0" formatColumns="0" formatRows="0"/>
  <mergeCells count="90">
    <mergeCell ref="J14:L14"/>
    <mergeCell ref="B12:E12"/>
    <mergeCell ref="B13:E13"/>
    <mergeCell ref="B14:E15"/>
    <mergeCell ref="B16:E16"/>
    <mergeCell ref="F12:G12"/>
    <mergeCell ref="F13:G13"/>
    <mergeCell ref="F14:G15"/>
    <mergeCell ref="F16:G16"/>
    <mergeCell ref="J15:L15"/>
    <mergeCell ref="J16:L16"/>
    <mergeCell ref="B5:M5"/>
    <mergeCell ref="J11:N11"/>
    <mergeCell ref="B11:G11"/>
    <mergeCell ref="J12:L12"/>
    <mergeCell ref="J13:L13"/>
    <mergeCell ref="B8:N9"/>
    <mergeCell ref="D35:M35"/>
    <mergeCell ref="D33:M33"/>
    <mergeCell ref="F17:G17"/>
    <mergeCell ref="F18:G18"/>
    <mergeCell ref="B18:E18"/>
    <mergeCell ref="D31:M31"/>
    <mergeCell ref="J17:L17"/>
    <mergeCell ref="B17:E17"/>
    <mergeCell ref="B19:E19"/>
    <mergeCell ref="F19:G19"/>
    <mergeCell ref="J19:L19"/>
    <mergeCell ref="J18:L18"/>
    <mergeCell ref="D23:M23"/>
    <mergeCell ref="Q5:AB5"/>
    <mergeCell ref="Q8:AC9"/>
    <mergeCell ref="Q11:V11"/>
    <mergeCell ref="Y11:AC11"/>
    <mergeCell ref="Q12:T12"/>
    <mergeCell ref="U12:V12"/>
    <mergeCell ref="Y12:AA12"/>
    <mergeCell ref="Q13:T13"/>
    <mergeCell ref="U13:V13"/>
    <mergeCell ref="Y13:AA13"/>
    <mergeCell ref="Q14:T15"/>
    <mergeCell ref="U14:V15"/>
    <mergeCell ref="Y14:AA14"/>
    <mergeCell ref="Y15:AA15"/>
    <mergeCell ref="Q19:T19"/>
    <mergeCell ref="U19:V19"/>
    <mergeCell ref="Y19:AA19"/>
    <mergeCell ref="Q16:T16"/>
    <mergeCell ref="U16:V16"/>
    <mergeCell ref="Y16:AA16"/>
    <mergeCell ref="Q17:T17"/>
    <mergeCell ref="U17:V17"/>
    <mergeCell ref="Y17:AA17"/>
    <mergeCell ref="AF13:AI13"/>
    <mergeCell ref="AJ13:AK13"/>
    <mergeCell ref="AN13:AP13"/>
    <mergeCell ref="AF14:AI15"/>
    <mergeCell ref="AJ14:AK15"/>
    <mergeCell ref="AF5:AQ5"/>
    <mergeCell ref="AF8:AR9"/>
    <mergeCell ref="AF11:AK11"/>
    <mergeCell ref="AN11:AR11"/>
    <mergeCell ref="AF12:AI12"/>
    <mergeCell ref="AJ12:AK12"/>
    <mergeCell ref="AN12:AP12"/>
    <mergeCell ref="AF17:AI17"/>
    <mergeCell ref="AJ17:AK17"/>
    <mergeCell ref="AN17:AP17"/>
    <mergeCell ref="AH31:AQ31"/>
    <mergeCell ref="AN14:AP14"/>
    <mergeCell ref="AN15:AP15"/>
    <mergeCell ref="AF16:AI16"/>
    <mergeCell ref="AJ16:AK16"/>
    <mergeCell ref="AN16:AP16"/>
    <mergeCell ref="S23:AB23"/>
    <mergeCell ref="AH23:AQ23"/>
    <mergeCell ref="AH33:AQ33"/>
    <mergeCell ref="AH35:AQ35"/>
    <mergeCell ref="AF18:AI18"/>
    <mergeCell ref="AJ18:AK18"/>
    <mergeCell ref="AN18:AP18"/>
    <mergeCell ref="AF19:AI19"/>
    <mergeCell ref="AJ19:AK19"/>
    <mergeCell ref="AN19:AP19"/>
    <mergeCell ref="S31:AB31"/>
    <mergeCell ref="S33:AB33"/>
    <mergeCell ref="S35:AB35"/>
    <mergeCell ref="Q18:T18"/>
    <mergeCell ref="U18:V18"/>
    <mergeCell ref="Y18:AA18"/>
  </mergeCells>
  <conditionalFormatting sqref="F18:G18">
    <cfRule type="expression" dxfId="2" priority="5">
      <formula>$F$12="Flush-Mount"</formula>
    </cfRule>
  </conditionalFormatting>
  <conditionalFormatting sqref="U18:V18">
    <cfRule type="expression" dxfId="1" priority="3">
      <formula>$U$12="Flush-Mount"</formula>
    </cfRule>
  </conditionalFormatting>
  <conditionalFormatting sqref="AJ18:AK18">
    <cfRule type="expression" dxfId="0" priority="2">
      <formula>$AJ$12="Flush-Mount"</formula>
    </cfRule>
  </conditionalFormatting>
  <dataValidations disablePrompts="1" count="4">
    <dataValidation type="list" allowBlank="1" showInputMessage="1" showErrorMessage="1" sqref="F12 U12 AJ12" xr:uid="{00000000-0002-0000-0700-000000000000}">
      <formula1>"Flush-Mount, Above Ground Riser"</formula1>
    </dataValidation>
    <dataValidation type="list" allowBlank="1" showInputMessage="1" showErrorMessage="1" sqref="F17 U17 AJ17" xr:uid="{00000000-0002-0000-0700-000001000000}">
      <formula1>$B$25:$B$30</formula1>
    </dataValidation>
    <dataValidation type="list" allowBlank="1" showInputMessage="1" showErrorMessage="1" sqref="F13:G13 U13:V13 AJ13:AK13" xr:uid="{00000000-0002-0000-0700-000002000000}">
      <formula1>$D$24:$H$24</formula1>
    </dataValidation>
    <dataValidation type="whole" allowBlank="1" showInputMessage="1" showErrorMessage="1" sqref="F19:G19 U19:V19 AJ19:AK19" xr:uid="{00000000-0002-0000-0700-000003000000}">
      <formula1>1</formula1>
      <formula2>1000000000000000</formula2>
    </dataValidation>
  </dataValidations>
  <pageMargins left="0.7" right="0.7" top="0.75" bottom="0.75" header="0.3" footer="0.3"/>
  <pageSetup scale="69" orientation="portrait" r:id="rId1"/>
  <headerFooter>
    <oddHeader>&amp;RPage &amp;P</oddHeader>
    <oddFooter>&amp;CPage &amp;P of &amp;N</oddFooter>
  </headerFooter>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0" tint="-0.34998626667073579"/>
  </sheetPr>
  <dimension ref="A1:AME119"/>
  <sheetViews>
    <sheetView zoomScaleNormal="100" zoomScaleSheetLayoutView="75" zoomScalePageLayoutView="55" workbookViewId="0"/>
  </sheetViews>
  <sheetFormatPr defaultRowHeight="15" x14ac:dyDescent="0.25"/>
  <cols>
    <col min="1" max="1" width="30.140625" customWidth="1"/>
    <col min="2" max="2" width="15" customWidth="1"/>
    <col min="3" max="3" width="15.7109375" customWidth="1"/>
    <col min="4" max="4" width="16.5703125" customWidth="1"/>
    <col min="5" max="5" width="15" customWidth="1"/>
    <col min="6" max="6" width="14.42578125" customWidth="1"/>
    <col min="7" max="7" width="13" customWidth="1"/>
    <col min="8" max="8" width="45" customWidth="1"/>
    <col min="9" max="9" width="14.28515625" customWidth="1"/>
    <col min="10" max="10" width="15.5703125" customWidth="1"/>
    <col min="11" max="11" width="17.5703125" customWidth="1"/>
    <col min="12" max="12" width="9" customWidth="1"/>
    <col min="13" max="1019" width="16.5703125" customWidth="1"/>
  </cols>
  <sheetData>
    <row r="1" spans="1:1019" x14ac:dyDescent="0.25">
      <c r="A1" s="72"/>
      <c r="B1" s="310"/>
      <c r="C1" s="310"/>
      <c r="D1" s="310"/>
      <c r="E1" s="310"/>
      <c r="F1" s="72"/>
      <c r="G1" s="310" t="s">
        <v>31</v>
      </c>
      <c r="H1" s="310"/>
      <c r="I1" s="310"/>
      <c r="J1" s="310"/>
      <c r="K1" s="311" t="str">
        <f>General!$A$4</f>
        <v>Spreadsheets for Environmental Footprint Analysis (SEFA) Version 3.0, November 2019</v>
      </c>
      <c r="L1" s="310"/>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row>
    <row r="2" spans="1:1019" x14ac:dyDescent="0.25">
      <c r="A2" s="69"/>
      <c r="B2" s="70"/>
      <c r="C2" s="70"/>
      <c r="D2" s="70"/>
      <c r="E2" s="251" t="s">
        <v>157</v>
      </c>
      <c r="F2" s="70"/>
      <c r="G2" s="70"/>
      <c r="H2" s="70"/>
      <c r="I2" s="70"/>
      <c r="J2" s="70"/>
      <c r="K2" s="70"/>
      <c r="L2" s="70"/>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row>
    <row r="3" spans="1:1019" x14ac:dyDescent="0.25">
      <c r="A3" s="69"/>
      <c r="B3" s="70"/>
      <c r="C3" s="70"/>
      <c r="D3" s="70"/>
      <c r="E3" s="70"/>
      <c r="F3" s="70"/>
      <c r="G3" s="70"/>
      <c r="H3" s="70"/>
      <c r="I3" s="70"/>
      <c r="J3" s="70"/>
      <c r="K3" s="70"/>
      <c r="L3" s="70"/>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row>
    <row r="4" spans="1:1019" ht="118.5" customHeight="1" x14ac:dyDescent="0.25">
      <c r="A4" s="766" t="s">
        <v>750</v>
      </c>
      <c r="B4" s="766"/>
      <c r="C4" s="766"/>
      <c r="D4" s="766"/>
      <c r="E4" s="766"/>
      <c r="F4" s="766"/>
      <c r="G4" s="766"/>
      <c r="H4" s="766"/>
      <c r="I4" s="766"/>
      <c r="J4" s="70"/>
      <c r="K4" s="70"/>
      <c r="L4" s="70"/>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row>
    <row r="5" spans="1:1019" x14ac:dyDescent="0.25">
      <c r="A5" s="69"/>
      <c r="B5" s="70"/>
      <c r="C5" s="70"/>
      <c r="D5" s="70"/>
      <c r="E5" s="70"/>
      <c r="F5" s="70"/>
      <c r="G5" s="70"/>
      <c r="H5" s="70"/>
      <c r="I5" s="70"/>
      <c r="J5" s="70"/>
      <c r="K5" s="70"/>
      <c r="L5" s="70"/>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row>
    <row r="6" spans="1:1019" x14ac:dyDescent="0.25">
      <c r="A6" s="69"/>
      <c r="B6" s="70"/>
      <c r="C6" s="70"/>
      <c r="D6" s="70"/>
      <c r="E6" s="70"/>
      <c r="F6" s="70"/>
      <c r="G6" s="70"/>
      <c r="H6" s="70"/>
      <c r="I6" s="70"/>
      <c r="J6" s="70"/>
      <c r="K6" s="70"/>
      <c r="L6" s="7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row>
    <row r="7" spans="1:1019" x14ac:dyDescent="0.25">
      <c r="A7" s="69"/>
      <c r="B7" s="70"/>
      <c r="C7" s="70"/>
      <c r="D7" s="70"/>
      <c r="E7" s="70"/>
      <c r="F7" s="70"/>
      <c r="G7" s="70"/>
      <c r="H7" s="70"/>
      <c r="I7" s="70"/>
      <c r="J7" s="70"/>
      <c r="K7" s="70"/>
      <c r="L7" s="70"/>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row>
    <row r="8" spans="1:1019" x14ac:dyDescent="0.25">
      <c r="A8" s="778" t="s">
        <v>743</v>
      </c>
      <c r="B8" s="426" t="s">
        <v>89</v>
      </c>
      <c r="C8" s="427" t="s">
        <v>49</v>
      </c>
      <c r="D8" s="290" t="s">
        <v>15</v>
      </c>
      <c r="E8" s="427" t="s">
        <v>107</v>
      </c>
      <c r="F8" s="84" t="s">
        <v>14</v>
      </c>
      <c r="G8" s="428" t="s">
        <v>90</v>
      </c>
      <c r="H8" s="70"/>
      <c r="I8" s="70"/>
      <c r="J8" s="70"/>
      <c r="K8" s="70"/>
      <c r="L8" s="70"/>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row>
    <row r="9" spans="1:1019" ht="15" customHeight="1" x14ac:dyDescent="0.25">
      <c r="A9" s="779"/>
      <c r="B9" s="423" t="s">
        <v>38</v>
      </c>
      <c r="C9" s="375" t="s">
        <v>38</v>
      </c>
      <c r="D9" s="423" t="s">
        <v>38</v>
      </c>
      <c r="E9" s="429" t="s">
        <v>108</v>
      </c>
      <c r="F9" s="423" t="s">
        <v>25</v>
      </c>
      <c r="G9" s="430" t="s">
        <v>91</v>
      </c>
      <c r="H9" s="72"/>
      <c r="I9" s="767" t="s">
        <v>745</v>
      </c>
      <c r="J9" s="768"/>
      <c r="K9" s="769"/>
      <c r="L9" s="7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row>
    <row r="10" spans="1:1019" ht="15" customHeight="1" x14ac:dyDescent="0.25">
      <c r="A10" s="404"/>
      <c r="B10" s="401"/>
      <c r="C10" s="72"/>
      <c r="D10" s="401"/>
      <c r="E10" s="74"/>
      <c r="F10" s="401"/>
      <c r="G10" s="75"/>
      <c r="H10" s="72"/>
      <c r="I10" s="770"/>
      <c r="J10" s="771"/>
      <c r="K10" s="772"/>
      <c r="L10" s="70"/>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row>
    <row r="11" spans="1:1019" x14ac:dyDescent="0.25">
      <c r="A11" s="76" t="s">
        <v>33</v>
      </c>
      <c r="B11" s="77" t="s">
        <v>35</v>
      </c>
      <c r="C11" s="77" t="s">
        <v>35</v>
      </c>
      <c r="D11" s="77">
        <v>45</v>
      </c>
      <c r="E11" s="77" t="s">
        <v>35</v>
      </c>
      <c r="F11" s="77" t="s">
        <v>35</v>
      </c>
      <c r="G11" s="77" t="s">
        <v>35</v>
      </c>
      <c r="H11" s="72"/>
      <c r="I11" s="78" t="s">
        <v>61</v>
      </c>
      <c r="J11" s="79"/>
      <c r="K11" s="80"/>
      <c r="L11" s="72"/>
    </row>
    <row r="12" spans="1:1019" x14ac:dyDescent="0.25">
      <c r="A12" s="76" t="s">
        <v>36</v>
      </c>
      <c r="B12" s="77">
        <f>ROUND(0.2*C12+0.8*D12,0)</f>
        <v>94</v>
      </c>
      <c r="C12" s="77">
        <f>ROUND(0.127/0.139*D12,0)</f>
        <v>88</v>
      </c>
      <c r="D12" s="77">
        <v>96</v>
      </c>
      <c r="E12" s="77" t="s">
        <v>35</v>
      </c>
      <c r="F12" s="77" t="s">
        <v>35</v>
      </c>
      <c r="G12" s="77">
        <f>ROUND(D12*0.103/0.139,0)</f>
        <v>71</v>
      </c>
      <c r="H12" s="72"/>
      <c r="I12" s="78" t="s">
        <v>62</v>
      </c>
      <c r="J12" s="79"/>
      <c r="K12" s="80"/>
      <c r="L12" s="72"/>
    </row>
    <row r="13" spans="1:1019" x14ac:dyDescent="0.25">
      <c r="A13" s="76" t="s">
        <v>23</v>
      </c>
      <c r="B13" s="77">
        <f t="shared" ref="B13:B15" si="0">ROUND(0.2*C13+0.8*D13,0)</f>
        <v>28</v>
      </c>
      <c r="C13" s="77">
        <f t="shared" ref="C13:C15" si="1">ROUND(0.127/0.139*D13,0)</f>
        <v>26</v>
      </c>
      <c r="D13" s="77">
        <v>28.4</v>
      </c>
      <c r="E13" s="393">
        <f>(1/0.34)*0.96</f>
        <v>2.8235294117647056</v>
      </c>
      <c r="F13" s="77">
        <v>25</v>
      </c>
      <c r="G13" s="77">
        <f>ROUND(D13*0.103/0.139,0)</f>
        <v>21</v>
      </c>
      <c r="H13" s="72"/>
      <c r="I13" s="78" t="s">
        <v>63</v>
      </c>
      <c r="J13" s="79"/>
      <c r="K13" s="80"/>
      <c r="L13" s="72"/>
    </row>
    <row r="14" spans="1:1019" x14ac:dyDescent="0.25">
      <c r="A14" s="76" t="s">
        <v>24</v>
      </c>
      <c r="B14" s="77">
        <f>ROUND(0.2*C14+0.8*D14,1)</f>
        <v>7.4</v>
      </c>
      <c r="C14" s="77">
        <f>ROUND(0.127/0.139*D14,1)</f>
        <v>6.9</v>
      </c>
      <c r="D14" s="77">
        <f>0.5*D15</f>
        <v>7.55</v>
      </c>
      <c r="E14" s="77" t="s">
        <v>35</v>
      </c>
      <c r="F14" s="77">
        <f>0.5*F15</f>
        <v>9.4499999999999993</v>
      </c>
      <c r="G14" s="77">
        <f>ROUND(D14*0.103/0.139,1)</f>
        <v>5.6</v>
      </c>
      <c r="H14" s="72"/>
      <c r="I14" s="78" t="s">
        <v>67</v>
      </c>
      <c r="J14" s="79"/>
      <c r="K14" s="80"/>
      <c r="L14" s="72"/>
    </row>
    <row r="15" spans="1:1019" x14ac:dyDescent="0.25">
      <c r="A15" s="76" t="s">
        <v>658</v>
      </c>
      <c r="B15" s="77">
        <f t="shared" si="0"/>
        <v>15</v>
      </c>
      <c r="C15" s="77">
        <f t="shared" si="1"/>
        <v>14</v>
      </c>
      <c r="D15" s="77">
        <v>15.1</v>
      </c>
      <c r="E15" s="77" t="s">
        <v>35</v>
      </c>
      <c r="F15" s="77">
        <v>18.899999999999999</v>
      </c>
      <c r="G15" s="77">
        <f>ROUND(D15*0.103/0.139,0)</f>
        <v>11</v>
      </c>
      <c r="H15" s="72"/>
      <c r="I15" s="78" t="s">
        <v>68</v>
      </c>
      <c r="J15" s="79"/>
      <c r="K15" s="80"/>
      <c r="L15" s="72"/>
    </row>
    <row r="16" spans="1:1019" x14ac:dyDescent="0.25">
      <c r="A16" s="76" t="s">
        <v>34</v>
      </c>
      <c r="B16" s="77" t="s">
        <v>35</v>
      </c>
      <c r="C16" s="77" t="s">
        <v>35</v>
      </c>
      <c r="D16" s="77">
        <v>59</v>
      </c>
      <c r="E16" s="77" t="s">
        <v>35</v>
      </c>
      <c r="F16" s="77" t="s">
        <v>35</v>
      </c>
      <c r="G16" s="77" t="s">
        <v>35</v>
      </c>
      <c r="H16" s="72"/>
      <c r="I16" s="78" t="s">
        <v>64</v>
      </c>
      <c r="J16" s="79"/>
      <c r="K16" s="80"/>
      <c r="L16" s="72"/>
    </row>
    <row r="17" spans="1:1019" x14ac:dyDescent="0.25">
      <c r="A17" s="76"/>
      <c r="B17" s="77"/>
      <c r="C17" s="77"/>
      <c r="D17" s="77"/>
      <c r="E17" s="77"/>
      <c r="F17" s="77"/>
      <c r="G17" s="77"/>
      <c r="H17" s="72"/>
      <c r="I17" s="78" t="s">
        <v>65</v>
      </c>
      <c r="J17" s="79"/>
      <c r="K17" s="80"/>
      <c r="L17" s="72"/>
    </row>
    <row r="18" spans="1:1019" ht="15" customHeight="1" x14ac:dyDescent="0.25">
      <c r="A18" s="76" t="str">
        <f>IF('User Defined Factors'!A70:B70="User Defined Vehicle #1",'User Defined Factors'!A70:B70,CONCATENATE("User Defined"," ",'User Defined Factors'!A70:B70))</f>
        <v>User Defined Vehicle #1</v>
      </c>
      <c r="B18" s="77" t="str">
        <f>IF(ISBLANK('User Defined Factors'!C70)=TRUE,"ENTER DATA",'User Defined Factors'!C70)</f>
        <v>ENTER DATA</v>
      </c>
      <c r="C18" s="77" t="str">
        <f>IF(ISBLANK('User Defined Factors'!D70)=TRUE,"ENTER DATA",'User Defined Factors'!D70)</f>
        <v>ENTER DATA</v>
      </c>
      <c r="D18" s="77" t="str">
        <f>IF(ISBLANK('User Defined Factors'!E70)=TRUE,"ENTER DATA",'User Defined Factors'!E70)</f>
        <v>ENTER DATA</v>
      </c>
      <c r="E18" s="77" t="str">
        <f>IF(ISBLANK('User Defined Factors'!G70)=TRUE,"ENTER DATA",'User Defined Factors'!G70)</f>
        <v>ENTER DATA</v>
      </c>
      <c r="F18" s="77" t="str">
        <f>IF(ISBLANK('User Defined Factors'!I70)=TRUE,"ENTER DATA",'User Defined Factors'!I70)</f>
        <v>ENTER DATA</v>
      </c>
      <c r="G18" s="77" t="str">
        <f>IF(ISBLANK('User Defined Factors'!K70)=TRUE,"ENTER DATA",'User Defined Factors'!K70)</f>
        <v>ENTER DATA</v>
      </c>
      <c r="H18" s="72"/>
      <c r="I18" s="78" t="s">
        <v>66</v>
      </c>
      <c r="J18" s="79"/>
      <c r="K18" s="80"/>
      <c r="L18" s="72"/>
    </row>
    <row r="19" spans="1:1019" ht="14.25" customHeight="1" x14ac:dyDescent="0.25">
      <c r="A19" s="76" t="str">
        <f>IF('User Defined Factors'!A71:B71="User Defined Vehicle #2",'User Defined Factors'!A71:B71,CONCATENATE("User Defined"," ",'User Defined Factors'!A71:B71))</f>
        <v>User Defined Vehicle #2</v>
      </c>
      <c r="B19" s="77" t="str">
        <f>IF(ISBLANK('User Defined Factors'!C71)=TRUE,"ENTER DATA",'User Defined Factors'!C71)</f>
        <v>ENTER DATA</v>
      </c>
      <c r="C19" s="77" t="str">
        <f>IF(ISBLANK('User Defined Factors'!D71)=TRUE,"ENTER DATA",'User Defined Factors'!D71)</f>
        <v>ENTER DATA</v>
      </c>
      <c r="D19" s="77" t="str">
        <f>IF(ISBLANK('User Defined Factors'!E71)=TRUE,"ENTER DATA",'User Defined Factors'!E71)</f>
        <v>ENTER DATA</v>
      </c>
      <c r="E19" s="77" t="str">
        <f>IF(ISBLANK('User Defined Factors'!G71)=TRUE,"ENTER DATA",'User Defined Factors'!G71)</f>
        <v>ENTER DATA</v>
      </c>
      <c r="F19" s="77" t="str">
        <f>IF(ISBLANK('User Defined Factors'!I71)=TRUE,"ENTER DATA",'User Defined Factors'!I71)</f>
        <v>ENTER DATA</v>
      </c>
      <c r="G19" s="77" t="str">
        <f>IF(ISBLANK('User Defined Factors'!K71)=TRUE,"ENTER DATA",'User Defined Factors'!K71)</f>
        <v>ENTER DATA</v>
      </c>
      <c r="H19" s="72"/>
      <c r="I19" s="78" t="s">
        <v>69</v>
      </c>
      <c r="J19" s="79"/>
      <c r="K19" s="80"/>
      <c r="L19" s="72"/>
    </row>
    <row r="20" spans="1:1019" ht="15" customHeight="1" x14ac:dyDescent="0.25">
      <c r="A20" s="76" t="str">
        <f>IF('User Defined Factors'!A72:B72="User Defined Vehicle #3",'User Defined Factors'!A72:B72,CONCATENATE("User Defined"," ",'User Defined Factors'!A72:B72))</f>
        <v>User Defined Vehicle #3</v>
      </c>
      <c r="B20" s="77" t="str">
        <f>IF(ISBLANK('User Defined Factors'!C72)=TRUE,"ENTER DATA",'User Defined Factors'!C72)</f>
        <v>ENTER DATA</v>
      </c>
      <c r="C20" s="77" t="str">
        <f>IF(ISBLANK('User Defined Factors'!D72)=TRUE,"ENTER DATA",'User Defined Factors'!D72)</f>
        <v>ENTER DATA</v>
      </c>
      <c r="D20" s="77" t="str">
        <f>IF(ISBLANK('User Defined Factors'!E72)=TRUE,"ENTER DATA",'User Defined Factors'!E72)</f>
        <v>ENTER DATA</v>
      </c>
      <c r="E20" s="77" t="str">
        <f>IF(ISBLANK('User Defined Factors'!G72)=TRUE,"ENTER DATA",'User Defined Factors'!G72)</f>
        <v>ENTER DATA</v>
      </c>
      <c r="F20" s="77" t="str">
        <f>IF(ISBLANK('User Defined Factors'!I72)=TRUE,"ENTER DATA",'User Defined Factors'!I72)</f>
        <v>ENTER DATA</v>
      </c>
      <c r="G20" s="77" t="str">
        <f>IF(ISBLANK('User Defined Factors'!K72)=TRUE,"ENTER DATA",'User Defined Factors'!K72)</f>
        <v>ENTER DATA</v>
      </c>
      <c r="H20" s="72"/>
      <c r="I20" s="78" t="s">
        <v>70</v>
      </c>
      <c r="J20" s="79"/>
      <c r="K20" s="80"/>
      <c r="L20" s="70"/>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row>
    <row r="21" spans="1:1019" ht="15" customHeight="1" x14ac:dyDescent="0.25">
      <c r="A21" s="76" t="str">
        <f>IF('User Defined Factors'!A73:B73="User Defined Vehicle #4",'User Defined Factors'!A73:B73,CONCATENATE("User Defined"," ",'User Defined Factors'!A73:B73))</f>
        <v>User Defined Vehicle #4</v>
      </c>
      <c r="B21" s="77" t="str">
        <f>IF(ISBLANK('User Defined Factors'!C73)=TRUE,"ENTER DATA",'User Defined Factors'!C73)</f>
        <v>ENTER DATA</v>
      </c>
      <c r="C21" s="77" t="str">
        <f>IF(ISBLANK('User Defined Factors'!D73)=TRUE,"ENTER DATA",'User Defined Factors'!D73)</f>
        <v>ENTER DATA</v>
      </c>
      <c r="D21" s="77" t="str">
        <f>IF(ISBLANK('User Defined Factors'!E73)=TRUE,"ENTER DATA",'User Defined Factors'!E73)</f>
        <v>ENTER DATA</v>
      </c>
      <c r="E21" s="77" t="str">
        <f>IF(ISBLANK('User Defined Factors'!G73)=TRUE,"ENTER DATA",'User Defined Factors'!G73)</f>
        <v>ENTER DATA</v>
      </c>
      <c r="F21" s="77" t="str">
        <f>IF(ISBLANK('User Defined Factors'!I73)=TRUE,"ENTER DATA",'User Defined Factors'!I73)</f>
        <v>ENTER DATA</v>
      </c>
      <c r="G21" s="77" t="str">
        <f>IF(ISBLANK('User Defined Factors'!K73)=TRUE,"ENTER DATA",'User Defined Factors'!K73)</f>
        <v>ENTER DATA</v>
      </c>
      <c r="H21" s="72"/>
      <c r="I21" s="78" t="s">
        <v>71</v>
      </c>
      <c r="J21" s="79"/>
      <c r="K21" s="80"/>
      <c r="L21" s="70"/>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c r="AME21" s="4"/>
    </row>
    <row r="22" spans="1:1019" ht="17.25" customHeight="1" x14ac:dyDescent="0.25">
      <c r="A22" s="76" t="str">
        <f>IF('User Defined Factors'!A74:B74="User Defined Vehicle #5",'User Defined Factors'!A74:B74,CONCATENATE("User Defined"," ",'User Defined Factors'!A74:B74))</f>
        <v>User Defined Vehicle #5</v>
      </c>
      <c r="B22" s="77" t="str">
        <f>IF(ISBLANK('User Defined Factors'!C74)=TRUE,"ENTER DATA",'User Defined Factors'!C74)</f>
        <v>ENTER DATA</v>
      </c>
      <c r="C22" s="77" t="str">
        <f>IF(ISBLANK('User Defined Factors'!D74)=TRUE,"ENTER DATA",'User Defined Factors'!D74)</f>
        <v>ENTER DATA</v>
      </c>
      <c r="D22" s="77" t="str">
        <f>IF(ISBLANK('User Defined Factors'!E74)=TRUE,"ENTER DATA",'User Defined Factors'!E74)</f>
        <v>ENTER DATA</v>
      </c>
      <c r="E22" s="77" t="str">
        <f>IF(ISBLANK('User Defined Factors'!G74)=TRUE,"ENTER DATA",'User Defined Factors'!G74)</f>
        <v>ENTER DATA</v>
      </c>
      <c r="F22" s="77" t="str">
        <f>IF(ISBLANK('User Defined Factors'!I74)=TRUE,"ENTER DATA",'User Defined Factors'!I74)</f>
        <v>ENTER DATA</v>
      </c>
      <c r="G22" s="77" t="str">
        <f>IF(ISBLANK('User Defined Factors'!K74)=TRUE,"ENTER DATA",'User Defined Factors'!K74)</f>
        <v>ENTER DATA</v>
      </c>
      <c r="H22" s="72"/>
      <c r="I22" s="78" t="s">
        <v>72</v>
      </c>
      <c r="J22" s="79"/>
      <c r="K22" s="80"/>
      <c r="L22" s="70"/>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c r="AJL22" s="4"/>
      <c r="AJM22" s="4"/>
      <c r="AJN22" s="4"/>
      <c r="AJO22" s="4"/>
      <c r="AJP22" s="4"/>
      <c r="AJQ22" s="4"/>
      <c r="AJR22" s="4"/>
      <c r="AJS22" s="4"/>
      <c r="AJT22" s="4"/>
      <c r="AJU22" s="4"/>
      <c r="AJV22" s="4"/>
      <c r="AJW22" s="4"/>
      <c r="AJX22" s="4"/>
      <c r="AJY22" s="4"/>
      <c r="AJZ22" s="4"/>
      <c r="AKA22" s="4"/>
      <c r="AKB22" s="4"/>
      <c r="AKC22" s="4"/>
      <c r="AKD22" s="4"/>
      <c r="AKE22" s="4"/>
      <c r="AKF22" s="4"/>
      <c r="AKG22" s="4"/>
      <c r="AKH22" s="4"/>
      <c r="AKI22" s="4"/>
      <c r="AKJ22" s="4"/>
      <c r="AKK22" s="4"/>
      <c r="AKL22" s="4"/>
      <c r="AKM22" s="4"/>
      <c r="AKN22" s="4"/>
      <c r="AKO22" s="4"/>
      <c r="AKP22" s="4"/>
      <c r="AKQ22" s="4"/>
      <c r="AKR22" s="4"/>
      <c r="AKS22" s="4"/>
      <c r="AKT22" s="4"/>
      <c r="AKU22" s="4"/>
      <c r="AKV22" s="4"/>
      <c r="AKW22" s="4"/>
      <c r="AKX22" s="4"/>
      <c r="AKY22" s="4"/>
      <c r="AKZ22" s="4"/>
      <c r="ALA22" s="4"/>
      <c r="ALB22" s="4"/>
      <c r="ALC22" s="4"/>
      <c r="ALD22" s="4"/>
      <c r="ALE22" s="4"/>
      <c r="ALF22" s="4"/>
      <c r="ALG22" s="4"/>
      <c r="ALH22" s="4"/>
      <c r="ALI22" s="4"/>
      <c r="ALJ22" s="4"/>
      <c r="ALK22" s="4"/>
      <c r="ALL22" s="4"/>
      <c r="ALM22" s="4"/>
      <c r="ALN22" s="4"/>
      <c r="ALO22" s="4"/>
      <c r="ALP22" s="4"/>
      <c r="ALQ22" s="4"/>
      <c r="ALR22" s="4"/>
      <c r="ALS22" s="4"/>
      <c r="ALT22" s="4"/>
      <c r="ALU22" s="4"/>
      <c r="ALV22" s="4"/>
      <c r="ALW22" s="4"/>
      <c r="ALX22" s="4"/>
      <c r="ALY22" s="4"/>
      <c r="ALZ22" s="4"/>
      <c r="AMA22" s="4"/>
      <c r="AMB22" s="4"/>
      <c r="AMC22" s="4"/>
      <c r="AMD22" s="4"/>
      <c r="AME22" s="4"/>
    </row>
    <row r="23" spans="1:1019" ht="17.25" customHeight="1" x14ac:dyDescent="0.25">
      <c r="A23" s="402" t="s">
        <v>751</v>
      </c>
      <c r="B23" s="402"/>
      <c r="C23" s="402"/>
      <c r="D23" s="402"/>
      <c r="E23" s="402"/>
      <c r="F23" s="402"/>
      <c r="G23" s="70"/>
      <c r="H23" s="72"/>
      <c r="I23" s="78" t="s">
        <v>73</v>
      </c>
      <c r="J23" s="79"/>
      <c r="K23" s="80"/>
      <c r="L23" s="70"/>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c r="AAA23" s="4"/>
      <c r="AAB23" s="4"/>
      <c r="AAC23" s="4"/>
      <c r="AAD23" s="4"/>
      <c r="AAE23" s="4"/>
      <c r="AAF23" s="4"/>
      <c r="AAG23" s="4"/>
      <c r="AAH23" s="4"/>
      <c r="AAI23" s="4"/>
      <c r="AAJ23" s="4"/>
      <c r="AAK23" s="4"/>
      <c r="AAL23" s="4"/>
      <c r="AAM23" s="4"/>
      <c r="AAN23" s="4"/>
      <c r="AAO23" s="4"/>
      <c r="AAP23" s="4"/>
      <c r="AAQ23" s="4"/>
      <c r="AAR23" s="4"/>
      <c r="AAS23" s="4"/>
      <c r="AAT23" s="4"/>
      <c r="AAU23" s="4"/>
      <c r="AAV23" s="4"/>
      <c r="AAW23" s="4"/>
      <c r="AAX23" s="4"/>
      <c r="AAY23" s="4"/>
      <c r="AAZ23" s="4"/>
      <c r="ABA23" s="4"/>
      <c r="ABB23" s="4"/>
      <c r="ABC23" s="4"/>
      <c r="ABD23" s="4"/>
      <c r="ABE23" s="4"/>
      <c r="ABF23" s="4"/>
      <c r="ABG23" s="4"/>
      <c r="ABH23" s="4"/>
      <c r="ABI23" s="4"/>
      <c r="ABJ23" s="4"/>
      <c r="ABK23" s="4"/>
      <c r="ABL23" s="4"/>
      <c r="ABM23" s="4"/>
      <c r="ABN23" s="4"/>
      <c r="ABO23" s="4"/>
      <c r="ABP23" s="4"/>
      <c r="ABQ23" s="4"/>
      <c r="ABR23" s="4"/>
      <c r="ABS23" s="4"/>
      <c r="ABT23" s="4"/>
      <c r="ABU23" s="4"/>
      <c r="ABV23" s="4"/>
      <c r="ABW23" s="4"/>
      <c r="ABX23" s="4"/>
      <c r="ABY23" s="4"/>
      <c r="ABZ23" s="4"/>
      <c r="ACA23" s="4"/>
      <c r="ACB23" s="4"/>
      <c r="ACC23" s="4"/>
      <c r="ACD23" s="4"/>
      <c r="ACE23" s="4"/>
      <c r="ACF23" s="4"/>
      <c r="ACG23" s="4"/>
      <c r="ACH23" s="4"/>
      <c r="ACI23" s="4"/>
      <c r="ACJ23" s="4"/>
      <c r="ACK23" s="4"/>
      <c r="ACL23" s="4"/>
      <c r="ACM23" s="4"/>
      <c r="ACN23" s="4"/>
      <c r="ACO23" s="4"/>
      <c r="ACP23" s="4"/>
      <c r="ACQ23" s="4"/>
      <c r="ACR23" s="4"/>
      <c r="ACS23" s="4"/>
      <c r="ACT23" s="4"/>
      <c r="ACU23" s="4"/>
      <c r="ACV23" s="4"/>
      <c r="ACW23" s="4"/>
      <c r="ACX23" s="4"/>
      <c r="ACY23" s="4"/>
      <c r="ACZ23" s="4"/>
      <c r="ADA23" s="4"/>
      <c r="ADB23" s="4"/>
      <c r="ADC23" s="4"/>
      <c r="ADD23" s="4"/>
      <c r="ADE23" s="4"/>
      <c r="ADF23" s="4"/>
      <c r="ADG23" s="4"/>
      <c r="ADH23" s="4"/>
      <c r="ADI23" s="4"/>
      <c r="ADJ23" s="4"/>
      <c r="ADK23" s="4"/>
      <c r="ADL23" s="4"/>
      <c r="ADM23" s="4"/>
      <c r="ADN23" s="4"/>
      <c r="ADO23" s="4"/>
      <c r="ADP23" s="4"/>
      <c r="ADQ23" s="4"/>
      <c r="ADR23" s="4"/>
      <c r="ADS23" s="4"/>
      <c r="ADT23" s="4"/>
      <c r="ADU23" s="4"/>
      <c r="ADV23" s="4"/>
      <c r="ADW23" s="4"/>
      <c r="ADX23" s="4"/>
      <c r="ADY23" s="4"/>
      <c r="ADZ23" s="4"/>
      <c r="AEA23" s="4"/>
      <c r="AEB23" s="4"/>
      <c r="AEC23" s="4"/>
      <c r="AED23" s="4"/>
      <c r="AEE23" s="4"/>
      <c r="AEF23" s="4"/>
      <c r="AEG23" s="4"/>
      <c r="AEH23" s="4"/>
      <c r="AEI23" s="4"/>
      <c r="AEJ23" s="4"/>
      <c r="AEK23" s="4"/>
      <c r="AEL23" s="4"/>
      <c r="AEM23" s="4"/>
      <c r="AEN23" s="4"/>
      <c r="AEO23" s="4"/>
      <c r="AEP23" s="4"/>
      <c r="AEQ23" s="4"/>
      <c r="AER23" s="4"/>
      <c r="AES23" s="4"/>
      <c r="AET23" s="4"/>
      <c r="AEU23" s="4"/>
      <c r="AEV23" s="4"/>
      <c r="AEW23" s="4"/>
      <c r="AEX23" s="4"/>
      <c r="AEY23" s="4"/>
      <c r="AEZ23" s="4"/>
      <c r="AFA23" s="4"/>
      <c r="AFB23" s="4"/>
      <c r="AFC23" s="4"/>
      <c r="AFD23" s="4"/>
      <c r="AFE23" s="4"/>
      <c r="AFF23" s="4"/>
      <c r="AFG23" s="4"/>
      <c r="AFH23" s="4"/>
      <c r="AFI23" s="4"/>
      <c r="AFJ23" s="4"/>
      <c r="AFK23" s="4"/>
      <c r="AFL23" s="4"/>
      <c r="AFM23" s="4"/>
      <c r="AFN23" s="4"/>
      <c r="AFO23" s="4"/>
      <c r="AFP23" s="4"/>
      <c r="AFQ23" s="4"/>
      <c r="AFR23" s="4"/>
      <c r="AFS23" s="4"/>
      <c r="AFT23" s="4"/>
      <c r="AFU23" s="4"/>
      <c r="AFV23" s="4"/>
      <c r="AFW23" s="4"/>
      <c r="AFX23" s="4"/>
      <c r="AFY23" s="4"/>
      <c r="AFZ23" s="4"/>
      <c r="AGA23" s="4"/>
      <c r="AGB23" s="4"/>
      <c r="AGC23" s="4"/>
      <c r="AGD23" s="4"/>
      <c r="AGE23" s="4"/>
      <c r="AGF23" s="4"/>
      <c r="AGG23" s="4"/>
      <c r="AGH23" s="4"/>
      <c r="AGI23" s="4"/>
      <c r="AGJ23" s="4"/>
      <c r="AGK23" s="4"/>
      <c r="AGL23" s="4"/>
      <c r="AGM23" s="4"/>
      <c r="AGN23" s="4"/>
      <c r="AGO23" s="4"/>
      <c r="AGP23" s="4"/>
      <c r="AGQ23" s="4"/>
      <c r="AGR23" s="4"/>
      <c r="AGS23" s="4"/>
      <c r="AGT23" s="4"/>
      <c r="AGU23" s="4"/>
      <c r="AGV23" s="4"/>
      <c r="AGW23" s="4"/>
      <c r="AGX23" s="4"/>
      <c r="AGY23" s="4"/>
      <c r="AGZ23" s="4"/>
      <c r="AHA23" s="4"/>
      <c r="AHB23" s="4"/>
      <c r="AHC23" s="4"/>
      <c r="AHD23" s="4"/>
      <c r="AHE23" s="4"/>
      <c r="AHF23" s="4"/>
      <c r="AHG23" s="4"/>
      <c r="AHH23" s="4"/>
      <c r="AHI23" s="4"/>
      <c r="AHJ23" s="4"/>
      <c r="AHK23" s="4"/>
      <c r="AHL23" s="4"/>
      <c r="AHM23" s="4"/>
      <c r="AHN23" s="4"/>
      <c r="AHO23" s="4"/>
      <c r="AHP23" s="4"/>
      <c r="AHQ23" s="4"/>
      <c r="AHR23" s="4"/>
      <c r="AHS23" s="4"/>
      <c r="AHT23" s="4"/>
      <c r="AHU23" s="4"/>
      <c r="AHV23" s="4"/>
      <c r="AHW23" s="4"/>
      <c r="AHX23" s="4"/>
      <c r="AHY23" s="4"/>
      <c r="AHZ23" s="4"/>
      <c r="AIA23" s="4"/>
      <c r="AIB23" s="4"/>
      <c r="AIC23" s="4"/>
      <c r="AID23" s="4"/>
      <c r="AIE23" s="4"/>
      <c r="AIF23" s="4"/>
      <c r="AIG23" s="4"/>
      <c r="AIH23" s="4"/>
      <c r="AII23" s="4"/>
      <c r="AIJ23" s="4"/>
      <c r="AIK23" s="4"/>
      <c r="AIL23" s="4"/>
      <c r="AIM23" s="4"/>
      <c r="AIN23" s="4"/>
      <c r="AIO23" s="4"/>
      <c r="AIP23" s="4"/>
      <c r="AIQ23" s="4"/>
      <c r="AIR23" s="4"/>
      <c r="AIS23" s="4"/>
      <c r="AIT23" s="4"/>
      <c r="AIU23" s="4"/>
      <c r="AIV23" s="4"/>
      <c r="AIW23" s="4"/>
      <c r="AIX23" s="4"/>
      <c r="AIY23" s="4"/>
      <c r="AIZ23" s="4"/>
      <c r="AJA23" s="4"/>
      <c r="AJB23" s="4"/>
      <c r="AJC23" s="4"/>
      <c r="AJD23" s="4"/>
      <c r="AJE23" s="4"/>
      <c r="AJF23" s="4"/>
      <c r="AJG23" s="4"/>
      <c r="AJH23" s="4"/>
      <c r="AJI23" s="4"/>
      <c r="AJJ23" s="4"/>
      <c r="AJK23" s="4"/>
      <c r="AJL23" s="4"/>
      <c r="AJM23" s="4"/>
      <c r="AJN23" s="4"/>
      <c r="AJO23" s="4"/>
      <c r="AJP23" s="4"/>
      <c r="AJQ23" s="4"/>
      <c r="AJR23" s="4"/>
      <c r="AJS23" s="4"/>
      <c r="AJT23" s="4"/>
      <c r="AJU23" s="4"/>
      <c r="AJV23" s="4"/>
      <c r="AJW23" s="4"/>
      <c r="AJX23" s="4"/>
      <c r="AJY23" s="4"/>
      <c r="AJZ23" s="4"/>
      <c r="AKA23" s="4"/>
      <c r="AKB23" s="4"/>
      <c r="AKC23" s="4"/>
      <c r="AKD23" s="4"/>
      <c r="AKE23" s="4"/>
      <c r="AKF23" s="4"/>
      <c r="AKG23" s="4"/>
      <c r="AKH23" s="4"/>
      <c r="AKI23" s="4"/>
      <c r="AKJ23" s="4"/>
      <c r="AKK23" s="4"/>
      <c r="AKL23" s="4"/>
      <c r="AKM23" s="4"/>
      <c r="AKN23" s="4"/>
      <c r="AKO23" s="4"/>
      <c r="AKP23" s="4"/>
      <c r="AKQ23" s="4"/>
      <c r="AKR23" s="4"/>
      <c r="AKS23" s="4"/>
      <c r="AKT23" s="4"/>
      <c r="AKU23" s="4"/>
      <c r="AKV23" s="4"/>
      <c r="AKW23" s="4"/>
      <c r="AKX23" s="4"/>
      <c r="AKY23" s="4"/>
      <c r="AKZ23" s="4"/>
      <c r="ALA23" s="4"/>
      <c r="ALB23" s="4"/>
      <c r="ALC23" s="4"/>
      <c r="ALD23" s="4"/>
      <c r="ALE23" s="4"/>
      <c r="ALF23" s="4"/>
      <c r="ALG23" s="4"/>
      <c r="ALH23" s="4"/>
      <c r="ALI23" s="4"/>
      <c r="ALJ23" s="4"/>
      <c r="ALK23" s="4"/>
      <c r="ALL23" s="4"/>
      <c r="ALM23" s="4"/>
      <c r="ALN23" s="4"/>
      <c r="ALO23" s="4"/>
      <c r="ALP23" s="4"/>
      <c r="ALQ23" s="4"/>
      <c r="ALR23" s="4"/>
      <c r="ALS23" s="4"/>
      <c r="ALT23" s="4"/>
      <c r="ALU23" s="4"/>
      <c r="ALV23" s="4"/>
      <c r="ALW23" s="4"/>
      <c r="ALX23" s="4"/>
      <c r="ALY23" s="4"/>
      <c r="ALZ23" s="4"/>
      <c r="AMA23" s="4"/>
      <c r="AMB23" s="4"/>
      <c r="AMC23" s="4"/>
      <c r="AMD23" s="4"/>
      <c r="AME23" s="4"/>
    </row>
    <row r="24" spans="1:1019" ht="15" customHeight="1" x14ac:dyDescent="0.25">
      <c r="A24" s="402" t="s">
        <v>765</v>
      </c>
      <c r="B24" s="402"/>
      <c r="C24" s="402"/>
      <c r="D24" s="402"/>
      <c r="E24" s="402"/>
      <c r="F24" s="402"/>
      <c r="G24" s="70"/>
      <c r="H24" s="72"/>
      <c r="I24" s="78" t="s">
        <v>74</v>
      </c>
      <c r="J24" s="79"/>
      <c r="K24" s="80"/>
      <c r="L24" s="70"/>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c r="ZQ24" s="4"/>
      <c r="ZR24" s="4"/>
      <c r="ZS24" s="4"/>
      <c r="ZT24" s="4"/>
      <c r="ZU24" s="4"/>
      <c r="ZV24" s="4"/>
      <c r="ZW24" s="4"/>
      <c r="ZX24" s="4"/>
      <c r="ZY24" s="4"/>
      <c r="ZZ24" s="4"/>
      <c r="AAA24" s="4"/>
      <c r="AAB24" s="4"/>
      <c r="AAC24" s="4"/>
      <c r="AAD24" s="4"/>
      <c r="AAE24" s="4"/>
      <c r="AAF24" s="4"/>
      <c r="AAG24" s="4"/>
      <c r="AAH24" s="4"/>
      <c r="AAI24" s="4"/>
      <c r="AAJ24" s="4"/>
      <c r="AAK24" s="4"/>
      <c r="AAL24" s="4"/>
      <c r="AAM24" s="4"/>
      <c r="AAN24" s="4"/>
      <c r="AAO24" s="4"/>
      <c r="AAP24" s="4"/>
      <c r="AAQ24" s="4"/>
      <c r="AAR24" s="4"/>
      <c r="AAS24" s="4"/>
      <c r="AAT24" s="4"/>
      <c r="AAU24" s="4"/>
      <c r="AAV24" s="4"/>
      <c r="AAW24" s="4"/>
      <c r="AAX24" s="4"/>
      <c r="AAY24" s="4"/>
      <c r="AAZ24" s="4"/>
      <c r="ABA24" s="4"/>
      <c r="ABB24" s="4"/>
      <c r="ABC24" s="4"/>
      <c r="ABD24" s="4"/>
      <c r="ABE24" s="4"/>
      <c r="ABF24" s="4"/>
      <c r="ABG24" s="4"/>
      <c r="ABH24" s="4"/>
      <c r="ABI24" s="4"/>
      <c r="ABJ24" s="4"/>
      <c r="ABK24" s="4"/>
      <c r="ABL24" s="4"/>
      <c r="ABM24" s="4"/>
      <c r="ABN24" s="4"/>
      <c r="ABO24" s="4"/>
      <c r="ABP24" s="4"/>
      <c r="ABQ24" s="4"/>
      <c r="ABR24" s="4"/>
      <c r="ABS24" s="4"/>
      <c r="ABT24" s="4"/>
      <c r="ABU24" s="4"/>
      <c r="ABV24" s="4"/>
      <c r="ABW24" s="4"/>
      <c r="ABX24" s="4"/>
      <c r="ABY24" s="4"/>
      <c r="ABZ24" s="4"/>
      <c r="ACA24" s="4"/>
      <c r="ACB24" s="4"/>
      <c r="ACC24" s="4"/>
      <c r="ACD24" s="4"/>
      <c r="ACE24" s="4"/>
      <c r="ACF24" s="4"/>
      <c r="ACG24" s="4"/>
      <c r="ACH24" s="4"/>
      <c r="ACI24" s="4"/>
      <c r="ACJ24" s="4"/>
      <c r="ACK24" s="4"/>
      <c r="ACL24" s="4"/>
      <c r="ACM24" s="4"/>
      <c r="ACN24" s="4"/>
      <c r="ACO24" s="4"/>
      <c r="ACP24" s="4"/>
      <c r="ACQ24" s="4"/>
      <c r="ACR24" s="4"/>
      <c r="ACS24" s="4"/>
      <c r="ACT24" s="4"/>
      <c r="ACU24" s="4"/>
      <c r="ACV24" s="4"/>
      <c r="ACW24" s="4"/>
      <c r="ACX24" s="4"/>
      <c r="ACY24" s="4"/>
      <c r="ACZ24" s="4"/>
      <c r="ADA24" s="4"/>
      <c r="ADB24" s="4"/>
      <c r="ADC24" s="4"/>
      <c r="ADD24" s="4"/>
      <c r="ADE24" s="4"/>
      <c r="ADF24" s="4"/>
      <c r="ADG24" s="4"/>
      <c r="ADH24" s="4"/>
      <c r="ADI24" s="4"/>
      <c r="ADJ24" s="4"/>
      <c r="ADK24" s="4"/>
      <c r="ADL24" s="4"/>
      <c r="ADM24" s="4"/>
      <c r="ADN24" s="4"/>
      <c r="ADO24" s="4"/>
      <c r="ADP24" s="4"/>
      <c r="ADQ24" s="4"/>
      <c r="ADR24" s="4"/>
      <c r="ADS24" s="4"/>
      <c r="ADT24" s="4"/>
      <c r="ADU24" s="4"/>
      <c r="ADV24" s="4"/>
      <c r="ADW24" s="4"/>
      <c r="ADX24" s="4"/>
      <c r="ADY24" s="4"/>
      <c r="ADZ24" s="4"/>
      <c r="AEA24" s="4"/>
      <c r="AEB24" s="4"/>
      <c r="AEC24" s="4"/>
      <c r="AED24" s="4"/>
      <c r="AEE24" s="4"/>
      <c r="AEF24" s="4"/>
      <c r="AEG24" s="4"/>
      <c r="AEH24" s="4"/>
      <c r="AEI24" s="4"/>
      <c r="AEJ24" s="4"/>
      <c r="AEK24" s="4"/>
      <c r="AEL24" s="4"/>
      <c r="AEM24" s="4"/>
      <c r="AEN24" s="4"/>
      <c r="AEO24" s="4"/>
      <c r="AEP24" s="4"/>
      <c r="AEQ24" s="4"/>
      <c r="AER24" s="4"/>
      <c r="AES24" s="4"/>
      <c r="AET24" s="4"/>
      <c r="AEU24" s="4"/>
      <c r="AEV24" s="4"/>
      <c r="AEW24" s="4"/>
      <c r="AEX24" s="4"/>
      <c r="AEY24" s="4"/>
      <c r="AEZ24" s="4"/>
      <c r="AFA24" s="4"/>
      <c r="AFB24" s="4"/>
      <c r="AFC24" s="4"/>
      <c r="AFD24" s="4"/>
      <c r="AFE24" s="4"/>
      <c r="AFF24" s="4"/>
      <c r="AFG24" s="4"/>
      <c r="AFH24" s="4"/>
      <c r="AFI24" s="4"/>
      <c r="AFJ24" s="4"/>
      <c r="AFK24" s="4"/>
      <c r="AFL24" s="4"/>
      <c r="AFM24" s="4"/>
      <c r="AFN24" s="4"/>
      <c r="AFO24" s="4"/>
      <c r="AFP24" s="4"/>
      <c r="AFQ24" s="4"/>
      <c r="AFR24" s="4"/>
      <c r="AFS24" s="4"/>
      <c r="AFT24" s="4"/>
      <c r="AFU24" s="4"/>
      <c r="AFV24" s="4"/>
      <c r="AFW24" s="4"/>
      <c r="AFX24" s="4"/>
      <c r="AFY24" s="4"/>
      <c r="AFZ24" s="4"/>
      <c r="AGA24" s="4"/>
      <c r="AGB24" s="4"/>
      <c r="AGC24" s="4"/>
      <c r="AGD24" s="4"/>
      <c r="AGE24" s="4"/>
      <c r="AGF24" s="4"/>
      <c r="AGG24" s="4"/>
      <c r="AGH24" s="4"/>
      <c r="AGI24" s="4"/>
      <c r="AGJ24" s="4"/>
      <c r="AGK24" s="4"/>
      <c r="AGL24" s="4"/>
      <c r="AGM24" s="4"/>
      <c r="AGN24" s="4"/>
      <c r="AGO24" s="4"/>
      <c r="AGP24" s="4"/>
      <c r="AGQ24" s="4"/>
      <c r="AGR24" s="4"/>
      <c r="AGS24" s="4"/>
      <c r="AGT24" s="4"/>
      <c r="AGU24" s="4"/>
      <c r="AGV24" s="4"/>
      <c r="AGW24" s="4"/>
      <c r="AGX24" s="4"/>
      <c r="AGY24" s="4"/>
      <c r="AGZ24" s="4"/>
      <c r="AHA24" s="4"/>
      <c r="AHB24" s="4"/>
      <c r="AHC24" s="4"/>
      <c r="AHD24" s="4"/>
      <c r="AHE24" s="4"/>
      <c r="AHF24" s="4"/>
      <c r="AHG24" s="4"/>
      <c r="AHH24" s="4"/>
      <c r="AHI24" s="4"/>
      <c r="AHJ24" s="4"/>
      <c r="AHK24" s="4"/>
      <c r="AHL24" s="4"/>
      <c r="AHM24" s="4"/>
      <c r="AHN24" s="4"/>
      <c r="AHO24" s="4"/>
      <c r="AHP24" s="4"/>
      <c r="AHQ24" s="4"/>
      <c r="AHR24" s="4"/>
      <c r="AHS24" s="4"/>
      <c r="AHT24" s="4"/>
      <c r="AHU24" s="4"/>
      <c r="AHV24" s="4"/>
      <c r="AHW24" s="4"/>
      <c r="AHX24" s="4"/>
      <c r="AHY24" s="4"/>
      <c r="AHZ24" s="4"/>
      <c r="AIA24" s="4"/>
      <c r="AIB24" s="4"/>
      <c r="AIC24" s="4"/>
      <c r="AID24" s="4"/>
      <c r="AIE24" s="4"/>
      <c r="AIF24" s="4"/>
      <c r="AIG24" s="4"/>
      <c r="AIH24" s="4"/>
      <c r="AII24" s="4"/>
      <c r="AIJ24" s="4"/>
      <c r="AIK24" s="4"/>
      <c r="AIL24" s="4"/>
      <c r="AIM24" s="4"/>
      <c r="AIN24" s="4"/>
      <c r="AIO24" s="4"/>
      <c r="AIP24" s="4"/>
      <c r="AIQ24" s="4"/>
      <c r="AIR24" s="4"/>
      <c r="AIS24" s="4"/>
      <c r="AIT24" s="4"/>
      <c r="AIU24" s="4"/>
      <c r="AIV24" s="4"/>
      <c r="AIW24" s="4"/>
      <c r="AIX24" s="4"/>
      <c r="AIY24" s="4"/>
      <c r="AIZ24" s="4"/>
      <c r="AJA24" s="4"/>
      <c r="AJB24" s="4"/>
      <c r="AJC24" s="4"/>
      <c r="AJD24" s="4"/>
      <c r="AJE24" s="4"/>
      <c r="AJF24" s="4"/>
      <c r="AJG24" s="4"/>
      <c r="AJH24" s="4"/>
      <c r="AJI24" s="4"/>
      <c r="AJJ24" s="4"/>
      <c r="AJK24" s="4"/>
      <c r="AJL24" s="4"/>
      <c r="AJM24" s="4"/>
      <c r="AJN24" s="4"/>
      <c r="AJO24" s="4"/>
      <c r="AJP24" s="4"/>
      <c r="AJQ24" s="4"/>
      <c r="AJR24" s="4"/>
      <c r="AJS24" s="4"/>
      <c r="AJT24" s="4"/>
      <c r="AJU24" s="4"/>
      <c r="AJV24" s="4"/>
      <c r="AJW24" s="4"/>
      <c r="AJX24" s="4"/>
      <c r="AJY24" s="4"/>
      <c r="AJZ24" s="4"/>
      <c r="AKA24" s="4"/>
      <c r="AKB24" s="4"/>
      <c r="AKC24" s="4"/>
      <c r="AKD24" s="4"/>
      <c r="AKE24" s="4"/>
      <c r="AKF24" s="4"/>
      <c r="AKG24" s="4"/>
      <c r="AKH24" s="4"/>
      <c r="AKI24" s="4"/>
      <c r="AKJ24" s="4"/>
      <c r="AKK24" s="4"/>
      <c r="AKL24" s="4"/>
      <c r="AKM24" s="4"/>
      <c r="AKN24" s="4"/>
      <c r="AKO24" s="4"/>
      <c r="AKP24" s="4"/>
      <c r="AKQ24" s="4"/>
      <c r="AKR24" s="4"/>
      <c r="AKS24" s="4"/>
      <c r="AKT24" s="4"/>
      <c r="AKU24" s="4"/>
      <c r="AKV24" s="4"/>
      <c r="AKW24" s="4"/>
      <c r="AKX24" s="4"/>
      <c r="AKY24" s="4"/>
      <c r="AKZ24" s="4"/>
      <c r="ALA24" s="4"/>
      <c r="ALB24" s="4"/>
      <c r="ALC24" s="4"/>
      <c r="ALD24" s="4"/>
      <c r="ALE24" s="4"/>
      <c r="ALF24" s="4"/>
      <c r="ALG24" s="4"/>
      <c r="ALH24" s="4"/>
      <c r="ALI24" s="4"/>
      <c r="ALJ24" s="4"/>
      <c r="ALK24" s="4"/>
      <c r="ALL24" s="4"/>
      <c r="ALM24" s="4"/>
      <c r="ALN24" s="4"/>
      <c r="ALO24" s="4"/>
      <c r="ALP24" s="4"/>
      <c r="ALQ24" s="4"/>
      <c r="ALR24" s="4"/>
      <c r="ALS24" s="4"/>
      <c r="ALT24" s="4"/>
      <c r="ALU24" s="4"/>
      <c r="ALV24" s="4"/>
      <c r="ALW24" s="4"/>
      <c r="ALX24" s="4"/>
      <c r="ALY24" s="4"/>
      <c r="ALZ24" s="4"/>
      <c r="AMA24" s="4"/>
      <c r="AMB24" s="4"/>
      <c r="AMC24" s="4"/>
      <c r="AMD24" s="4"/>
      <c r="AME24" s="4"/>
    </row>
    <row r="25" spans="1:1019" ht="16.5" customHeight="1" x14ac:dyDescent="0.25">
      <c r="A25" s="780" t="s">
        <v>753</v>
      </c>
      <c r="B25" s="780"/>
      <c r="C25" s="780"/>
      <c r="D25" s="780"/>
      <c r="E25" s="780"/>
      <c r="F25" s="780"/>
      <c r="G25" s="780"/>
      <c r="H25" s="781"/>
      <c r="I25" s="78" t="s">
        <v>75</v>
      </c>
      <c r="J25" s="79"/>
      <c r="K25" s="80"/>
      <c r="L25" s="70"/>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4"/>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c r="ZC25" s="4"/>
      <c r="ZD25" s="4"/>
      <c r="ZE25" s="4"/>
      <c r="ZF25" s="4"/>
      <c r="ZG25" s="4"/>
      <c r="ZH25" s="4"/>
      <c r="ZI25" s="4"/>
      <c r="ZJ25" s="4"/>
      <c r="ZK25" s="4"/>
      <c r="ZL25" s="4"/>
      <c r="ZM25" s="4"/>
      <c r="ZN25" s="4"/>
      <c r="ZO25" s="4"/>
      <c r="ZP25" s="4"/>
      <c r="ZQ25" s="4"/>
      <c r="ZR25" s="4"/>
      <c r="ZS25" s="4"/>
      <c r="ZT25" s="4"/>
      <c r="ZU25" s="4"/>
      <c r="ZV25" s="4"/>
      <c r="ZW25" s="4"/>
      <c r="ZX25" s="4"/>
      <c r="ZY25" s="4"/>
      <c r="ZZ25" s="4"/>
      <c r="AAA25" s="4"/>
      <c r="AAB25" s="4"/>
      <c r="AAC25" s="4"/>
      <c r="AAD25" s="4"/>
      <c r="AAE25" s="4"/>
      <c r="AAF25" s="4"/>
      <c r="AAG25" s="4"/>
      <c r="AAH25" s="4"/>
      <c r="AAI25" s="4"/>
      <c r="AAJ25" s="4"/>
      <c r="AAK25" s="4"/>
      <c r="AAL25" s="4"/>
      <c r="AAM25" s="4"/>
      <c r="AAN25" s="4"/>
      <c r="AAO25" s="4"/>
      <c r="AAP25" s="4"/>
      <c r="AAQ25" s="4"/>
      <c r="AAR25" s="4"/>
      <c r="AAS25" s="4"/>
      <c r="AAT25" s="4"/>
      <c r="AAU25" s="4"/>
      <c r="AAV25" s="4"/>
      <c r="AAW25" s="4"/>
      <c r="AAX25" s="4"/>
      <c r="AAY25" s="4"/>
      <c r="AAZ25" s="4"/>
      <c r="ABA25" s="4"/>
      <c r="ABB25" s="4"/>
      <c r="ABC25" s="4"/>
      <c r="ABD25" s="4"/>
      <c r="ABE25" s="4"/>
      <c r="ABF25" s="4"/>
      <c r="ABG25" s="4"/>
      <c r="ABH25" s="4"/>
      <c r="ABI25" s="4"/>
      <c r="ABJ25" s="4"/>
      <c r="ABK25" s="4"/>
      <c r="ABL25" s="4"/>
      <c r="ABM25" s="4"/>
      <c r="ABN25" s="4"/>
      <c r="ABO25" s="4"/>
      <c r="ABP25" s="4"/>
      <c r="ABQ25" s="4"/>
      <c r="ABR25" s="4"/>
      <c r="ABS25" s="4"/>
      <c r="ABT25" s="4"/>
      <c r="ABU25" s="4"/>
      <c r="ABV25" s="4"/>
      <c r="ABW25" s="4"/>
      <c r="ABX25" s="4"/>
      <c r="ABY25" s="4"/>
      <c r="ABZ25" s="4"/>
      <c r="ACA25" s="4"/>
      <c r="ACB25" s="4"/>
      <c r="ACC25" s="4"/>
      <c r="ACD25" s="4"/>
      <c r="ACE25" s="4"/>
      <c r="ACF25" s="4"/>
      <c r="ACG25" s="4"/>
      <c r="ACH25" s="4"/>
      <c r="ACI25" s="4"/>
      <c r="ACJ25" s="4"/>
      <c r="ACK25" s="4"/>
      <c r="ACL25" s="4"/>
      <c r="ACM25" s="4"/>
      <c r="ACN25" s="4"/>
      <c r="ACO25" s="4"/>
      <c r="ACP25" s="4"/>
      <c r="ACQ25" s="4"/>
      <c r="ACR25" s="4"/>
      <c r="ACS25" s="4"/>
      <c r="ACT25" s="4"/>
      <c r="ACU25" s="4"/>
      <c r="ACV25" s="4"/>
      <c r="ACW25" s="4"/>
      <c r="ACX25" s="4"/>
      <c r="ACY25" s="4"/>
      <c r="ACZ25" s="4"/>
      <c r="ADA25" s="4"/>
      <c r="ADB25" s="4"/>
      <c r="ADC25" s="4"/>
      <c r="ADD25" s="4"/>
      <c r="ADE25" s="4"/>
      <c r="ADF25" s="4"/>
      <c r="ADG25" s="4"/>
      <c r="ADH25" s="4"/>
      <c r="ADI25" s="4"/>
      <c r="ADJ25" s="4"/>
      <c r="ADK25" s="4"/>
      <c r="ADL25" s="4"/>
      <c r="ADM25" s="4"/>
      <c r="ADN25" s="4"/>
      <c r="ADO25" s="4"/>
      <c r="ADP25" s="4"/>
      <c r="ADQ25" s="4"/>
      <c r="ADR25" s="4"/>
      <c r="ADS25" s="4"/>
      <c r="ADT25" s="4"/>
      <c r="ADU25" s="4"/>
      <c r="ADV25" s="4"/>
      <c r="ADW25" s="4"/>
      <c r="ADX25" s="4"/>
      <c r="ADY25" s="4"/>
      <c r="ADZ25" s="4"/>
      <c r="AEA25" s="4"/>
      <c r="AEB25" s="4"/>
      <c r="AEC25" s="4"/>
      <c r="AED25" s="4"/>
      <c r="AEE25" s="4"/>
      <c r="AEF25" s="4"/>
      <c r="AEG25" s="4"/>
      <c r="AEH25" s="4"/>
      <c r="AEI25" s="4"/>
      <c r="AEJ25" s="4"/>
      <c r="AEK25" s="4"/>
      <c r="AEL25" s="4"/>
      <c r="AEM25" s="4"/>
      <c r="AEN25" s="4"/>
      <c r="AEO25" s="4"/>
      <c r="AEP25" s="4"/>
      <c r="AEQ25" s="4"/>
      <c r="AER25" s="4"/>
      <c r="AES25" s="4"/>
      <c r="AET25" s="4"/>
      <c r="AEU25" s="4"/>
      <c r="AEV25" s="4"/>
      <c r="AEW25" s="4"/>
      <c r="AEX25" s="4"/>
      <c r="AEY25" s="4"/>
      <c r="AEZ25" s="4"/>
      <c r="AFA25" s="4"/>
      <c r="AFB25" s="4"/>
      <c r="AFC25" s="4"/>
      <c r="AFD25" s="4"/>
      <c r="AFE25" s="4"/>
      <c r="AFF25" s="4"/>
      <c r="AFG25" s="4"/>
      <c r="AFH25" s="4"/>
      <c r="AFI25" s="4"/>
      <c r="AFJ25" s="4"/>
      <c r="AFK25" s="4"/>
      <c r="AFL25" s="4"/>
      <c r="AFM25" s="4"/>
      <c r="AFN25" s="4"/>
      <c r="AFO25" s="4"/>
      <c r="AFP25" s="4"/>
      <c r="AFQ25" s="4"/>
      <c r="AFR25" s="4"/>
      <c r="AFS25" s="4"/>
      <c r="AFT25" s="4"/>
      <c r="AFU25" s="4"/>
      <c r="AFV25" s="4"/>
      <c r="AFW25" s="4"/>
      <c r="AFX25" s="4"/>
      <c r="AFY25" s="4"/>
      <c r="AFZ25" s="4"/>
      <c r="AGA25" s="4"/>
      <c r="AGB25" s="4"/>
      <c r="AGC25" s="4"/>
      <c r="AGD25" s="4"/>
      <c r="AGE25" s="4"/>
      <c r="AGF25" s="4"/>
      <c r="AGG25" s="4"/>
      <c r="AGH25" s="4"/>
      <c r="AGI25" s="4"/>
      <c r="AGJ25" s="4"/>
      <c r="AGK25" s="4"/>
      <c r="AGL25" s="4"/>
      <c r="AGM25" s="4"/>
      <c r="AGN25" s="4"/>
      <c r="AGO25" s="4"/>
      <c r="AGP25" s="4"/>
      <c r="AGQ25" s="4"/>
      <c r="AGR25" s="4"/>
      <c r="AGS25" s="4"/>
      <c r="AGT25" s="4"/>
      <c r="AGU25" s="4"/>
      <c r="AGV25" s="4"/>
      <c r="AGW25" s="4"/>
      <c r="AGX25" s="4"/>
      <c r="AGY25" s="4"/>
      <c r="AGZ25" s="4"/>
      <c r="AHA25" s="4"/>
      <c r="AHB25" s="4"/>
      <c r="AHC25" s="4"/>
      <c r="AHD25" s="4"/>
      <c r="AHE25" s="4"/>
      <c r="AHF25" s="4"/>
      <c r="AHG25" s="4"/>
      <c r="AHH25" s="4"/>
      <c r="AHI25" s="4"/>
      <c r="AHJ25" s="4"/>
      <c r="AHK25" s="4"/>
      <c r="AHL25" s="4"/>
      <c r="AHM25" s="4"/>
      <c r="AHN25" s="4"/>
      <c r="AHO25" s="4"/>
      <c r="AHP25" s="4"/>
      <c r="AHQ25" s="4"/>
      <c r="AHR25" s="4"/>
      <c r="AHS25" s="4"/>
      <c r="AHT25" s="4"/>
      <c r="AHU25" s="4"/>
      <c r="AHV25" s="4"/>
      <c r="AHW25" s="4"/>
      <c r="AHX25" s="4"/>
      <c r="AHY25" s="4"/>
      <c r="AHZ25" s="4"/>
      <c r="AIA25" s="4"/>
      <c r="AIB25" s="4"/>
      <c r="AIC25" s="4"/>
      <c r="AID25" s="4"/>
      <c r="AIE25" s="4"/>
      <c r="AIF25" s="4"/>
      <c r="AIG25" s="4"/>
      <c r="AIH25" s="4"/>
      <c r="AII25" s="4"/>
      <c r="AIJ25" s="4"/>
      <c r="AIK25" s="4"/>
      <c r="AIL25" s="4"/>
      <c r="AIM25" s="4"/>
      <c r="AIN25" s="4"/>
      <c r="AIO25" s="4"/>
      <c r="AIP25" s="4"/>
      <c r="AIQ25" s="4"/>
      <c r="AIR25" s="4"/>
      <c r="AIS25" s="4"/>
      <c r="AIT25" s="4"/>
      <c r="AIU25" s="4"/>
      <c r="AIV25" s="4"/>
      <c r="AIW25" s="4"/>
      <c r="AIX25" s="4"/>
      <c r="AIY25" s="4"/>
      <c r="AIZ25" s="4"/>
      <c r="AJA25" s="4"/>
      <c r="AJB25" s="4"/>
      <c r="AJC25" s="4"/>
      <c r="AJD25" s="4"/>
      <c r="AJE25" s="4"/>
      <c r="AJF25" s="4"/>
      <c r="AJG25" s="4"/>
      <c r="AJH25" s="4"/>
      <c r="AJI25" s="4"/>
      <c r="AJJ25" s="4"/>
      <c r="AJK25" s="4"/>
      <c r="AJL25" s="4"/>
      <c r="AJM25" s="4"/>
      <c r="AJN25" s="4"/>
      <c r="AJO25" s="4"/>
      <c r="AJP25" s="4"/>
      <c r="AJQ25" s="4"/>
      <c r="AJR25" s="4"/>
      <c r="AJS25" s="4"/>
      <c r="AJT25" s="4"/>
      <c r="AJU25" s="4"/>
      <c r="AJV25" s="4"/>
      <c r="AJW25" s="4"/>
      <c r="AJX25" s="4"/>
      <c r="AJY25" s="4"/>
      <c r="AJZ25" s="4"/>
      <c r="AKA25" s="4"/>
      <c r="AKB25" s="4"/>
      <c r="AKC25" s="4"/>
      <c r="AKD25" s="4"/>
      <c r="AKE25" s="4"/>
      <c r="AKF25" s="4"/>
      <c r="AKG25" s="4"/>
      <c r="AKH25" s="4"/>
      <c r="AKI25" s="4"/>
      <c r="AKJ25" s="4"/>
      <c r="AKK25" s="4"/>
      <c r="AKL25" s="4"/>
      <c r="AKM25" s="4"/>
      <c r="AKN25" s="4"/>
      <c r="AKO25" s="4"/>
      <c r="AKP25" s="4"/>
      <c r="AKQ25" s="4"/>
      <c r="AKR25" s="4"/>
      <c r="AKS25" s="4"/>
      <c r="AKT25" s="4"/>
      <c r="AKU25" s="4"/>
      <c r="AKV25" s="4"/>
      <c r="AKW25" s="4"/>
      <c r="AKX25" s="4"/>
      <c r="AKY25" s="4"/>
      <c r="AKZ25" s="4"/>
      <c r="ALA25" s="4"/>
      <c r="ALB25" s="4"/>
      <c r="ALC25" s="4"/>
      <c r="ALD25" s="4"/>
      <c r="ALE25" s="4"/>
      <c r="ALF25" s="4"/>
      <c r="ALG25" s="4"/>
      <c r="ALH25" s="4"/>
      <c r="ALI25" s="4"/>
      <c r="ALJ25" s="4"/>
      <c r="ALK25" s="4"/>
      <c r="ALL25" s="4"/>
      <c r="ALM25" s="4"/>
      <c r="ALN25" s="4"/>
      <c r="ALO25" s="4"/>
      <c r="ALP25" s="4"/>
      <c r="ALQ25" s="4"/>
      <c r="ALR25" s="4"/>
      <c r="ALS25" s="4"/>
      <c r="ALT25" s="4"/>
      <c r="ALU25" s="4"/>
      <c r="ALV25" s="4"/>
      <c r="ALW25" s="4"/>
      <c r="ALX25" s="4"/>
      <c r="ALY25" s="4"/>
      <c r="ALZ25" s="4"/>
      <c r="AMA25" s="4"/>
      <c r="AMB25" s="4"/>
      <c r="AMC25" s="4"/>
      <c r="AMD25" s="4"/>
      <c r="AME25" s="4"/>
    </row>
    <row r="26" spans="1:1019" ht="13.5" customHeight="1" x14ac:dyDescent="0.25">
      <c r="A26" s="780"/>
      <c r="B26" s="780"/>
      <c r="C26" s="780"/>
      <c r="D26" s="780"/>
      <c r="E26" s="780"/>
      <c r="F26" s="780"/>
      <c r="G26" s="780"/>
      <c r="H26" s="781"/>
      <c r="I26" s="78" t="s">
        <v>76</v>
      </c>
      <c r="J26" s="79"/>
      <c r="K26" s="80"/>
      <c r="L26" s="70"/>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c r="AAA26" s="4"/>
      <c r="AAB26" s="4"/>
      <c r="AAC26" s="4"/>
      <c r="AAD26" s="4"/>
      <c r="AAE26" s="4"/>
      <c r="AAF26" s="4"/>
      <c r="AAG26" s="4"/>
      <c r="AAH26" s="4"/>
      <c r="AAI26" s="4"/>
      <c r="AAJ26" s="4"/>
      <c r="AAK26" s="4"/>
      <c r="AAL26" s="4"/>
      <c r="AAM26" s="4"/>
      <c r="AAN26" s="4"/>
      <c r="AAO26" s="4"/>
      <c r="AAP26" s="4"/>
      <c r="AAQ26" s="4"/>
      <c r="AAR26" s="4"/>
      <c r="AAS26" s="4"/>
      <c r="AAT26" s="4"/>
      <c r="AAU26" s="4"/>
      <c r="AAV26" s="4"/>
      <c r="AAW26" s="4"/>
      <c r="AAX26" s="4"/>
      <c r="AAY26" s="4"/>
      <c r="AAZ26" s="4"/>
      <c r="ABA26" s="4"/>
      <c r="ABB26" s="4"/>
      <c r="ABC26" s="4"/>
      <c r="ABD26" s="4"/>
      <c r="ABE26" s="4"/>
      <c r="ABF26" s="4"/>
      <c r="ABG26" s="4"/>
      <c r="ABH26" s="4"/>
      <c r="ABI26" s="4"/>
      <c r="ABJ26" s="4"/>
      <c r="ABK26" s="4"/>
      <c r="ABL26" s="4"/>
      <c r="ABM26" s="4"/>
      <c r="ABN26" s="4"/>
      <c r="ABO26" s="4"/>
      <c r="ABP26" s="4"/>
      <c r="ABQ26" s="4"/>
      <c r="ABR26" s="4"/>
      <c r="ABS26" s="4"/>
      <c r="ABT26" s="4"/>
      <c r="ABU26" s="4"/>
      <c r="ABV26" s="4"/>
      <c r="ABW26" s="4"/>
      <c r="ABX26" s="4"/>
      <c r="ABY26" s="4"/>
      <c r="ABZ26" s="4"/>
      <c r="ACA26" s="4"/>
      <c r="ACB26" s="4"/>
      <c r="ACC26" s="4"/>
      <c r="ACD26" s="4"/>
      <c r="ACE26" s="4"/>
      <c r="ACF26" s="4"/>
      <c r="ACG26" s="4"/>
      <c r="ACH26" s="4"/>
      <c r="ACI26" s="4"/>
      <c r="ACJ26" s="4"/>
      <c r="ACK26" s="4"/>
      <c r="ACL26" s="4"/>
      <c r="ACM26" s="4"/>
      <c r="ACN26" s="4"/>
      <c r="ACO26" s="4"/>
      <c r="ACP26" s="4"/>
      <c r="ACQ26" s="4"/>
      <c r="ACR26" s="4"/>
      <c r="ACS26" s="4"/>
      <c r="ACT26" s="4"/>
      <c r="ACU26" s="4"/>
      <c r="ACV26" s="4"/>
      <c r="ACW26" s="4"/>
      <c r="ACX26" s="4"/>
      <c r="ACY26" s="4"/>
      <c r="ACZ26" s="4"/>
      <c r="ADA26" s="4"/>
      <c r="ADB26" s="4"/>
      <c r="ADC26" s="4"/>
      <c r="ADD26" s="4"/>
      <c r="ADE26" s="4"/>
      <c r="ADF26" s="4"/>
      <c r="ADG26" s="4"/>
      <c r="ADH26" s="4"/>
      <c r="ADI26" s="4"/>
      <c r="ADJ26" s="4"/>
      <c r="ADK26" s="4"/>
      <c r="ADL26" s="4"/>
      <c r="ADM26" s="4"/>
      <c r="ADN26" s="4"/>
      <c r="ADO26" s="4"/>
      <c r="ADP26" s="4"/>
      <c r="ADQ26" s="4"/>
      <c r="ADR26" s="4"/>
      <c r="ADS26" s="4"/>
      <c r="ADT26" s="4"/>
      <c r="ADU26" s="4"/>
      <c r="ADV26" s="4"/>
      <c r="ADW26" s="4"/>
      <c r="ADX26" s="4"/>
      <c r="ADY26" s="4"/>
      <c r="ADZ26" s="4"/>
      <c r="AEA26" s="4"/>
      <c r="AEB26" s="4"/>
      <c r="AEC26" s="4"/>
      <c r="AED26" s="4"/>
      <c r="AEE26" s="4"/>
      <c r="AEF26" s="4"/>
      <c r="AEG26" s="4"/>
      <c r="AEH26" s="4"/>
      <c r="AEI26" s="4"/>
      <c r="AEJ26" s="4"/>
      <c r="AEK26" s="4"/>
      <c r="AEL26" s="4"/>
      <c r="AEM26" s="4"/>
      <c r="AEN26" s="4"/>
      <c r="AEO26" s="4"/>
      <c r="AEP26" s="4"/>
      <c r="AEQ26" s="4"/>
      <c r="AER26" s="4"/>
      <c r="AES26" s="4"/>
      <c r="AET26" s="4"/>
      <c r="AEU26" s="4"/>
      <c r="AEV26" s="4"/>
      <c r="AEW26" s="4"/>
      <c r="AEX26" s="4"/>
      <c r="AEY26" s="4"/>
      <c r="AEZ26" s="4"/>
      <c r="AFA26" s="4"/>
      <c r="AFB26" s="4"/>
      <c r="AFC26" s="4"/>
      <c r="AFD26" s="4"/>
      <c r="AFE26" s="4"/>
      <c r="AFF26" s="4"/>
      <c r="AFG26" s="4"/>
      <c r="AFH26" s="4"/>
      <c r="AFI26" s="4"/>
      <c r="AFJ26" s="4"/>
      <c r="AFK26" s="4"/>
      <c r="AFL26" s="4"/>
      <c r="AFM26" s="4"/>
      <c r="AFN26" s="4"/>
      <c r="AFO26" s="4"/>
      <c r="AFP26" s="4"/>
      <c r="AFQ26" s="4"/>
      <c r="AFR26" s="4"/>
      <c r="AFS26" s="4"/>
      <c r="AFT26" s="4"/>
      <c r="AFU26" s="4"/>
      <c r="AFV26" s="4"/>
      <c r="AFW26" s="4"/>
      <c r="AFX26" s="4"/>
      <c r="AFY26" s="4"/>
      <c r="AFZ26" s="4"/>
      <c r="AGA26" s="4"/>
      <c r="AGB26" s="4"/>
      <c r="AGC26" s="4"/>
      <c r="AGD26" s="4"/>
      <c r="AGE26" s="4"/>
      <c r="AGF26" s="4"/>
      <c r="AGG26" s="4"/>
      <c r="AGH26" s="4"/>
      <c r="AGI26" s="4"/>
      <c r="AGJ26" s="4"/>
      <c r="AGK26" s="4"/>
      <c r="AGL26" s="4"/>
      <c r="AGM26" s="4"/>
      <c r="AGN26" s="4"/>
      <c r="AGO26" s="4"/>
      <c r="AGP26" s="4"/>
      <c r="AGQ26" s="4"/>
      <c r="AGR26" s="4"/>
      <c r="AGS26" s="4"/>
      <c r="AGT26" s="4"/>
      <c r="AGU26" s="4"/>
      <c r="AGV26" s="4"/>
      <c r="AGW26" s="4"/>
      <c r="AGX26" s="4"/>
      <c r="AGY26" s="4"/>
      <c r="AGZ26" s="4"/>
      <c r="AHA26" s="4"/>
      <c r="AHB26" s="4"/>
      <c r="AHC26" s="4"/>
      <c r="AHD26" s="4"/>
      <c r="AHE26" s="4"/>
      <c r="AHF26" s="4"/>
      <c r="AHG26" s="4"/>
      <c r="AHH26" s="4"/>
      <c r="AHI26" s="4"/>
      <c r="AHJ26" s="4"/>
      <c r="AHK26" s="4"/>
      <c r="AHL26" s="4"/>
      <c r="AHM26" s="4"/>
      <c r="AHN26" s="4"/>
      <c r="AHO26" s="4"/>
      <c r="AHP26" s="4"/>
      <c r="AHQ26" s="4"/>
      <c r="AHR26" s="4"/>
      <c r="AHS26" s="4"/>
      <c r="AHT26" s="4"/>
      <c r="AHU26" s="4"/>
      <c r="AHV26" s="4"/>
      <c r="AHW26" s="4"/>
      <c r="AHX26" s="4"/>
      <c r="AHY26" s="4"/>
      <c r="AHZ26" s="4"/>
      <c r="AIA26" s="4"/>
      <c r="AIB26" s="4"/>
      <c r="AIC26" s="4"/>
      <c r="AID26" s="4"/>
      <c r="AIE26" s="4"/>
      <c r="AIF26" s="4"/>
      <c r="AIG26" s="4"/>
      <c r="AIH26" s="4"/>
      <c r="AII26" s="4"/>
      <c r="AIJ26" s="4"/>
      <c r="AIK26" s="4"/>
      <c r="AIL26" s="4"/>
      <c r="AIM26" s="4"/>
      <c r="AIN26" s="4"/>
      <c r="AIO26" s="4"/>
      <c r="AIP26" s="4"/>
      <c r="AIQ26" s="4"/>
      <c r="AIR26" s="4"/>
      <c r="AIS26" s="4"/>
      <c r="AIT26" s="4"/>
      <c r="AIU26" s="4"/>
      <c r="AIV26" s="4"/>
      <c r="AIW26" s="4"/>
      <c r="AIX26" s="4"/>
      <c r="AIY26" s="4"/>
      <c r="AIZ26" s="4"/>
      <c r="AJA26" s="4"/>
      <c r="AJB26" s="4"/>
      <c r="AJC26" s="4"/>
      <c r="AJD26" s="4"/>
      <c r="AJE26" s="4"/>
      <c r="AJF26" s="4"/>
      <c r="AJG26" s="4"/>
      <c r="AJH26" s="4"/>
      <c r="AJI26" s="4"/>
      <c r="AJJ26" s="4"/>
      <c r="AJK26" s="4"/>
      <c r="AJL26" s="4"/>
      <c r="AJM26" s="4"/>
      <c r="AJN26" s="4"/>
      <c r="AJO26" s="4"/>
      <c r="AJP26" s="4"/>
      <c r="AJQ26" s="4"/>
      <c r="AJR26" s="4"/>
      <c r="AJS26" s="4"/>
      <c r="AJT26" s="4"/>
      <c r="AJU26" s="4"/>
      <c r="AJV26" s="4"/>
      <c r="AJW26" s="4"/>
      <c r="AJX26" s="4"/>
      <c r="AJY26" s="4"/>
      <c r="AJZ26" s="4"/>
      <c r="AKA26" s="4"/>
      <c r="AKB26" s="4"/>
      <c r="AKC26" s="4"/>
      <c r="AKD26" s="4"/>
      <c r="AKE26" s="4"/>
      <c r="AKF26" s="4"/>
      <c r="AKG26" s="4"/>
      <c r="AKH26" s="4"/>
      <c r="AKI26" s="4"/>
      <c r="AKJ26" s="4"/>
      <c r="AKK26" s="4"/>
      <c r="AKL26" s="4"/>
      <c r="AKM26" s="4"/>
      <c r="AKN26" s="4"/>
      <c r="AKO26" s="4"/>
      <c r="AKP26" s="4"/>
      <c r="AKQ26" s="4"/>
      <c r="AKR26" s="4"/>
      <c r="AKS26" s="4"/>
      <c r="AKT26" s="4"/>
      <c r="AKU26" s="4"/>
      <c r="AKV26" s="4"/>
      <c r="AKW26" s="4"/>
      <c r="AKX26" s="4"/>
      <c r="AKY26" s="4"/>
      <c r="AKZ26" s="4"/>
      <c r="ALA26" s="4"/>
      <c r="ALB26" s="4"/>
      <c r="ALC26" s="4"/>
      <c r="ALD26" s="4"/>
      <c r="ALE26" s="4"/>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c r="AMD26" s="4"/>
      <c r="AME26" s="4"/>
    </row>
    <row r="27" spans="1:1019" ht="18" customHeight="1" x14ac:dyDescent="0.25">
      <c r="A27" s="780"/>
      <c r="B27" s="780"/>
      <c r="C27" s="780"/>
      <c r="D27" s="780"/>
      <c r="E27" s="780"/>
      <c r="F27" s="780"/>
      <c r="G27" s="780"/>
      <c r="H27" s="781"/>
      <c r="I27" s="78" t="s">
        <v>77</v>
      </c>
      <c r="J27" s="79"/>
      <c r="K27" s="80"/>
      <c r="L27" s="70"/>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c r="AAA27" s="4"/>
      <c r="AAB27" s="4"/>
      <c r="AAC27" s="4"/>
      <c r="AAD27" s="4"/>
      <c r="AAE27" s="4"/>
      <c r="AAF27" s="4"/>
      <c r="AAG27" s="4"/>
      <c r="AAH27" s="4"/>
      <c r="AAI27" s="4"/>
      <c r="AAJ27" s="4"/>
      <c r="AAK27" s="4"/>
      <c r="AAL27" s="4"/>
      <c r="AAM27" s="4"/>
      <c r="AAN27" s="4"/>
      <c r="AAO27" s="4"/>
      <c r="AAP27" s="4"/>
      <c r="AAQ27" s="4"/>
      <c r="AAR27" s="4"/>
      <c r="AAS27" s="4"/>
      <c r="AAT27" s="4"/>
      <c r="AAU27" s="4"/>
      <c r="AAV27" s="4"/>
      <c r="AAW27" s="4"/>
      <c r="AAX27" s="4"/>
      <c r="AAY27" s="4"/>
      <c r="AAZ27" s="4"/>
      <c r="ABA27" s="4"/>
      <c r="ABB27" s="4"/>
      <c r="ABC27" s="4"/>
      <c r="ABD27" s="4"/>
      <c r="ABE27" s="4"/>
      <c r="ABF27" s="4"/>
      <c r="ABG27" s="4"/>
      <c r="ABH27" s="4"/>
      <c r="ABI27" s="4"/>
      <c r="ABJ27" s="4"/>
      <c r="ABK27" s="4"/>
      <c r="ABL27" s="4"/>
      <c r="ABM27" s="4"/>
      <c r="ABN27" s="4"/>
      <c r="ABO27" s="4"/>
      <c r="ABP27" s="4"/>
      <c r="ABQ27" s="4"/>
      <c r="ABR27" s="4"/>
      <c r="ABS27" s="4"/>
      <c r="ABT27" s="4"/>
      <c r="ABU27" s="4"/>
      <c r="ABV27" s="4"/>
      <c r="ABW27" s="4"/>
      <c r="ABX27" s="4"/>
      <c r="ABY27" s="4"/>
      <c r="ABZ27" s="4"/>
      <c r="ACA27" s="4"/>
      <c r="ACB27" s="4"/>
      <c r="ACC27" s="4"/>
      <c r="ACD27" s="4"/>
      <c r="ACE27" s="4"/>
      <c r="ACF27" s="4"/>
      <c r="ACG27" s="4"/>
      <c r="ACH27" s="4"/>
      <c r="ACI27" s="4"/>
      <c r="ACJ27" s="4"/>
      <c r="ACK27" s="4"/>
      <c r="ACL27" s="4"/>
      <c r="ACM27" s="4"/>
      <c r="ACN27" s="4"/>
      <c r="ACO27" s="4"/>
      <c r="ACP27" s="4"/>
      <c r="ACQ27" s="4"/>
      <c r="ACR27" s="4"/>
      <c r="ACS27" s="4"/>
      <c r="ACT27" s="4"/>
      <c r="ACU27" s="4"/>
      <c r="ACV27" s="4"/>
      <c r="ACW27" s="4"/>
      <c r="ACX27" s="4"/>
      <c r="ACY27" s="4"/>
      <c r="ACZ27" s="4"/>
      <c r="ADA27" s="4"/>
      <c r="ADB27" s="4"/>
      <c r="ADC27" s="4"/>
      <c r="ADD27" s="4"/>
      <c r="ADE27" s="4"/>
      <c r="ADF27" s="4"/>
      <c r="ADG27" s="4"/>
      <c r="ADH27" s="4"/>
      <c r="ADI27" s="4"/>
      <c r="ADJ27" s="4"/>
      <c r="ADK27" s="4"/>
      <c r="ADL27" s="4"/>
      <c r="ADM27" s="4"/>
      <c r="ADN27" s="4"/>
      <c r="ADO27" s="4"/>
      <c r="ADP27" s="4"/>
      <c r="ADQ27" s="4"/>
      <c r="ADR27" s="4"/>
      <c r="ADS27" s="4"/>
      <c r="ADT27" s="4"/>
      <c r="ADU27" s="4"/>
      <c r="ADV27" s="4"/>
      <c r="ADW27" s="4"/>
      <c r="ADX27" s="4"/>
      <c r="ADY27" s="4"/>
      <c r="ADZ27" s="4"/>
      <c r="AEA27" s="4"/>
      <c r="AEB27" s="4"/>
      <c r="AEC27" s="4"/>
      <c r="AED27" s="4"/>
      <c r="AEE27" s="4"/>
      <c r="AEF27" s="4"/>
      <c r="AEG27" s="4"/>
      <c r="AEH27" s="4"/>
      <c r="AEI27" s="4"/>
      <c r="AEJ27" s="4"/>
      <c r="AEK27" s="4"/>
      <c r="AEL27" s="4"/>
      <c r="AEM27" s="4"/>
      <c r="AEN27" s="4"/>
      <c r="AEO27" s="4"/>
      <c r="AEP27" s="4"/>
      <c r="AEQ27" s="4"/>
      <c r="AER27" s="4"/>
      <c r="AES27" s="4"/>
      <c r="AET27" s="4"/>
      <c r="AEU27" s="4"/>
      <c r="AEV27" s="4"/>
      <c r="AEW27" s="4"/>
      <c r="AEX27" s="4"/>
      <c r="AEY27" s="4"/>
      <c r="AEZ27" s="4"/>
      <c r="AFA27" s="4"/>
      <c r="AFB27" s="4"/>
      <c r="AFC27" s="4"/>
      <c r="AFD27" s="4"/>
      <c r="AFE27" s="4"/>
      <c r="AFF27" s="4"/>
      <c r="AFG27" s="4"/>
      <c r="AFH27" s="4"/>
      <c r="AFI27" s="4"/>
      <c r="AFJ27" s="4"/>
      <c r="AFK27" s="4"/>
      <c r="AFL27" s="4"/>
      <c r="AFM27" s="4"/>
      <c r="AFN27" s="4"/>
      <c r="AFO27" s="4"/>
      <c r="AFP27" s="4"/>
      <c r="AFQ27" s="4"/>
      <c r="AFR27" s="4"/>
      <c r="AFS27" s="4"/>
      <c r="AFT27" s="4"/>
      <c r="AFU27" s="4"/>
      <c r="AFV27" s="4"/>
      <c r="AFW27" s="4"/>
      <c r="AFX27" s="4"/>
      <c r="AFY27" s="4"/>
      <c r="AFZ27" s="4"/>
      <c r="AGA27" s="4"/>
      <c r="AGB27" s="4"/>
      <c r="AGC27" s="4"/>
      <c r="AGD27" s="4"/>
      <c r="AGE27" s="4"/>
      <c r="AGF27" s="4"/>
      <c r="AGG27" s="4"/>
      <c r="AGH27" s="4"/>
      <c r="AGI27" s="4"/>
      <c r="AGJ27" s="4"/>
      <c r="AGK27" s="4"/>
      <c r="AGL27" s="4"/>
      <c r="AGM27" s="4"/>
      <c r="AGN27" s="4"/>
      <c r="AGO27" s="4"/>
      <c r="AGP27" s="4"/>
      <c r="AGQ27" s="4"/>
      <c r="AGR27" s="4"/>
      <c r="AGS27" s="4"/>
      <c r="AGT27" s="4"/>
      <c r="AGU27" s="4"/>
      <c r="AGV27" s="4"/>
      <c r="AGW27" s="4"/>
      <c r="AGX27" s="4"/>
      <c r="AGY27" s="4"/>
      <c r="AGZ27" s="4"/>
      <c r="AHA27" s="4"/>
      <c r="AHB27" s="4"/>
      <c r="AHC27" s="4"/>
      <c r="AHD27" s="4"/>
      <c r="AHE27" s="4"/>
      <c r="AHF27" s="4"/>
      <c r="AHG27" s="4"/>
      <c r="AHH27" s="4"/>
      <c r="AHI27" s="4"/>
      <c r="AHJ27" s="4"/>
      <c r="AHK27" s="4"/>
      <c r="AHL27" s="4"/>
      <c r="AHM27" s="4"/>
      <c r="AHN27" s="4"/>
      <c r="AHO27" s="4"/>
      <c r="AHP27" s="4"/>
      <c r="AHQ27" s="4"/>
      <c r="AHR27" s="4"/>
      <c r="AHS27" s="4"/>
      <c r="AHT27" s="4"/>
      <c r="AHU27" s="4"/>
      <c r="AHV27" s="4"/>
      <c r="AHW27" s="4"/>
      <c r="AHX27" s="4"/>
      <c r="AHY27" s="4"/>
      <c r="AHZ27" s="4"/>
      <c r="AIA27" s="4"/>
      <c r="AIB27" s="4"/>
      <c r="AIC27" s="4"/>
      <c r="AID27" s="4"/>
      <c r="AIE27" s="4"/>
      <c r="AIF27" s="4"/>
      <c r="AIG27" s="4"/>
      <c r="AIH27" s="4"/>
      <c r="AII27" s="4"/>
      <c r="AIJ27" s="4"/>
      <c r="AIK27" s="4"/>
      <c r="AIL27" s="4"/>
      <c r="AIM27" s="4"/>
      <c r="AIN27" s="4"/>
      <c r="AIO27" s="4"/>
      <c r="AIP27" s="4"/>
      <c r="AIQ27" s="4"/>
      <c r="AIR27" s="4"/>
      <c r="AIS27" s="4"/>
      <c r="AIT27" s="4"/>
      <c r="AIU27" s="4"/>
      <c r="AIV27" s="4"/>
      <c r="AIW27" s="4"/>
      <c r="AIX27" s="4"/>
      <c r="AIY27" s="4"/>
      <c r="AIZ27" s="4"/>
      <c r="AJA27" s="4"/>
      <c r="AJB27" s="4"/>
      <c r="AJC27" s="4"/>
      <c r="AJD27" s="4"/>
      <c r="AJE27" s="4"/>
      <c r="AJF27" s="4"/>
      <c r="AJG27" s="4"/>
      <c r="AJH27" s="4"/>
      <c r="AJI27" s="4"/>
      <c r="AJJ27" s="4"/>
      <c r="AJK27" s="4"/>
      <c r="AJL27" s="4"/>
      <c r="AJM27" s="4"/>
      <c r="AJN27" s="4"/>
      <c r="AJO27" s="4"/>
      <c r="AJP27" s="4"/>
      <c r="AJQ27" s="4"/>
      <c r="AJR27" s="4"/>
      <c r="AJS27" s="4"/>
      <c r="AJT27" s="4"/>
      <c r="AJU27" s="4"/>
      <c r="AJV27" s="4"/>
      <c r="AJW27" s="4"/>
      <c r="AJX27" s="4"/>
      <c r="AJY27" s="4"/>
      <c r="AJZ27" s="4"/>
      <c r="AKA27" s="4"/>
      <c r="AKB27" s="4"/>
      <c r="AKC27" s="4"/>
      <c r="AKD27" s="4"/>
      <c r="AKE27" s="4"/>
      <c r="AKF27" s="4"/>
      <c r="AKG27" s="4"/>
      <c r="AKH27" s="4"/>
      <c r="AKI27" s="4"/>
      <c r="AKJ27" s="4"/>
      <c r="AKK27" s="4"/>
      <c r="AKL27" s="4"/>
      <c r="AKM27" s="4"/>
      <c r="AKN27" s="4"/>
      <c r="AKO27" s="4"/>
      <c r="AKP27" s="4"/>
      <c r="AKQ27" s="4"/>
      <c r="AKR27" s="4"/>
      <c r="AKS27" s="4"/>
      <c r="AKT27" s="4"/>
      <c r="AKU27" s="4"/>
      <c r="AKV27" s="4"/>
      <c r="AKW27" s="4"/>
      <c r="AKX27" s="4"/>
      <c r="AKY27" s="4"/>
      <c r="AKZ27" s="4"/>
      <c r="ALA27" s="4"/>
      <c r="ALB27" s="4"/>
      <c r="ALC27" s="4"/>
      <c r="ALD27" s="4"/>
      <c r="ALE27" s="4"/>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c r="AMD27" s="4"/>
      <c r="AME27" s="4"/>
    </row>
    <row r="28" spans="1:1019" ht="15.75" customHeight="1" x14ac:dyDescent="0.25">
      <c r="A28" s="778" t="s">
        <v>744</v>
      </c>
      <c r="B28" s="778" t="s">
        <v>1</v>
      </c>
      <c r="C28" s="778" t="s">
        <v>92</v>
      </c>
      <c r="D28" s="81"/>
      <c r="E28" s="81"/>
      <c r="F28" s="81"/>
      <c r="G28" s="70"/>
      <c r="H28" s="72"/>
      <c r="I28" s="78" t="s">
        <v>78</v>
      </c>
      <c r="J28" s="79"/>
      <c r="K28" s="80"/>
      <c r="L28" s="70"/>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c r="ZQ28" s="4"/>
      <c r="ZR28" s="4"/>
      <c r="ZS28" s="4"/>
      <c r="ZT28" s="4"/>
      <c r="ZU28" s="4"/>
      <c r="ZV28" s="4"/>
      <c r="ZW28" s="4"/>
      <c r="ZX28" s="4"/>
      <c r="ZY28" s="4"/>
      <c r="ZZ28" s="4"/>
      <c r="AAA28" s="4"/>
      <c r="AAB28" s="4"/>
      <c r="AAC28" s="4"/>
      <c r="AAD28" s="4"/>
      <c r="AAE28" s="4"/>
      <c r="AAF28" s="4"/>
      <c r="AAG28" s="4"/>
      <c r="AAH28" s="4"/>
      <c r="AAI28" s="4"/>
      <c r="AAJ28" s="4"/>
      <c r="AAK28" s="4"/>
      <c r="AAL28" s="4"/>
      <c r="AAM28" s="4"/>
      <c r="AAN28" s="4"/>
      <c r="AAO28" s="4"/>
      <c r="AAP28" s="4"/>
      <c r="AAQ28" s="4"/>
      <c r="AAR28" s="4"/>
      <c r="AAS28" s="4"/>
      <c r="AAT28" s="4"/>
      <c r="AAU28" s="4"/>
      <c r="AAV28" s="4"/>
      <c r="AAW28" s="4"/>
      <c r="AAX28" s="4"/>
      <c r="AAY28" s="4"/>
      <c r="AAZ28" s="4"/>
      <c r="ABA28" s="4"/>
      <c r="ABB28" s="4"/>
      <c r="ABC28" s="4"/>
      <c r="ABD28" s="4"/>
      <c r="ABE28" s="4"/>
      <c r="ABF28" s="4"/>
      <c r="ABG28" s="4"/>
      <c r="ABH28" s="4"/>
      <c r="ABI28" s="4"/>
      <c r="ABJ28" s="4"/>
      <c r="ABK28" s="4"/>
      <c r="ABL28" s="4"/>
      <c r="ABM28" s="4"/>
      <c r="ABN28" s="4"/>
      <c r="ABO28" s="4"/>
      <c r="ABP28" s="4"/>
      <c r="ABQ28" s="4"/>
      <c r="ABR28" s="4"/>
      <c r="ABS28" s="4"/>
      <c r="ABT28" s="4"/>
      <c r="ABU28" s="4"/>
      <c r="ABV28" s="4"/>
      <c r="ABW28" s="4"/>
      <c r="ABX28" s="4"/>
      <c r="ABY28" s="4"/>
      <c r="ABZ28" s="4"/>
      <c r="ACA28" s="4"/>
      <c r="ACB28" s="4"/>
      <c r="ACC28" s="4"/>
      <c r="ACD28" s="4"/>
      <c r="ACE28" s="4"/>
      <c r="ACF28" s="4"/>
      <c r="ACG28" s="4"/>
      <c r="ACH28" s="4"/>
      <c r="ACI28" s="4"/>
      <c r="ACJ28" s="4"/>
      <c r="ACK28" s="4"/>
      <c r="ACL28" s="4"/>
      <c r="ACM28" s="4"/>
      <c r="ACN28" s="4"/>
      <c r="ACO28" s="4"/>
      <c r="ACP28" s="4"/>
      <c r="ACQ28" s="4"/>
      <c r="ACR28" s="4"/>
      <c r="ACS28" s="4"/>
      <c r="ACT28" s="4"/>
      <c r="ACU28" s="4"/>
      <c r="ACV28" s="4"/>
      <c r="ACW28" s="4"/>
      <c r="ACX28" s="4"/>
      <c r="ACY28" s="4"/>
      <c r="ACZ28" s="4"/>
      <c r="ADA28" s="4"/>
      <c r="ADB28" s="4"/>
      <c r="ADC28" s="4"/>
      <c r="ADD28" s="4"/>
      <c r="ADE28" s="4"/>
      <c r="ADF28" s="4"/>
      <c r="ADG28" s="4"/>
      <c r="ADH28" s="4"/>
      <c r="ADI28" s="4"/>
      <c r="ADJ28" s="4"/>
      <c r="ADK28" s="4"/>
      <c r="ADL28" s="4"/>
      <c r="ADM28" s="4"/>
      <c r="ADN28" s="4"/>
      <c r="ADO28" s="4"/>
      <c r="ADP28" s="4"/>
      <c r="ADQ28" s="4"/>
      <c r="ADR28" s="4"/>
      <c r="ADS28" s="4"/>
      <c r="ADT28" s="4"/>
      <c r="ADU28" s="4"/>
      <c r="ADV28" s="4"/>
      <c r="ADW28" s="4"/>
      <c r="ADX28" s="4"/>
      <c r="ADY28" s="4"/>
      <c r="ADZ28" s="4"/>
      <c r="AEA28" s="4"/>
      <c r="AEB28" s="4"/>
      <c r="AEC28" s="4"/>
      <c r="AED28" s="4"/>
      <c r="AEE28" s="4"/>
      <c r="AEF28" s="4"/>
      <c r="AEG28" s="4"/>
      <c r="AEH28" s="4"/>
      <c r="AEI28" s="4"/>
      <c r="AEJ28" s="4"/>
      <c r="AEK28" s="4"/>
      <c r="AEL28" s="4"/>
      <c r="AEM28" s="4"/>
      <c r="AEN28" s="4"/>
      <c r="AEO28" s="4"/>
      <c r="AEP28" s="4"/>
      <c r="AEQ28" s="4"/>
      <c r="AER28" s="4"/>
      <c r="AES28" s="4"/>
      <c r="AET28" s="4"/>
      <c r="AEU28" s="4"/>
      <c r="AEV28" s="4"/>
      <c r="AEW28" s="4"/>
      <c r="AEX28" s="4"/>
      <c r="AEY28" s="4"/>
      <c r="AEZ28" s="4"/>
      <c r="AFA28" s="4"/>
      <c r="AFB28" s="4"/>
      <c r="AFC28" s="4"/>
      <c r="AFD28" s="4"/>
      <c r="AFE28" s="4"/>
      <c r="AFF28" s="4"/>
      <c r="AFG28" s="4"/>
      <c r="AFH28" s="4"/>
      <c r="AFI28" s="4"/>
      <c r="AFJ28" s="4"/>
      <c r="AFK28" s="4"/>
      <c r="AFL28" s="4"/>
      <c r="AFM28" s="4"/>
      <c r="AFN28" s="4"/>
      <c r="AFO28" s="4"/>
      <c r="AFP28" s="4"/>
      <c r="AFQ28" s="4"/>
      <c r="AFR28" s="4"/>
      <c r="AFS28" s="4"/>
      <c r="AFT28" s="4"/>
      <c r="AFU28" s="4"/>
      <c r="AFV28" s="4"/>
      <c r="AFW28" s="4"/>
      <c r="AFX28" s="4"/>
      <c r="AFY28" s="4"/>
      <c r="AFZ28" s="4"/>
      <c r="AGA28" s="4"/>
      <c r="AGB28" s="4"/>
      <c r="AGC28" s="4"/>
      <c r="AGD28" s="4"/>
      <c r="AGE28" s="4"/>
      <c r="AGF28" s="4"/>
      <c r="AGG28" s="4"/>
      <c r="AGH28" s="4"/>
      <c r="AGI28" s="4"/>
      <c r="AGJ28" s="4"/>
      <c r="AGK28" s="4"/>
      <c r="AGL28" s="4"/>
      <c r="AGM28" s="4"/>
      <c r="AGN28" s="4"/>
      <c r="AGO28" s="4"/>
      <c r="AGP28" s="4"/>
      <c r="AGQ28" s="4"/>
      <c r="AGR28" s="4"/>
      <c r="AGS28" s="4"/>
      <c r="AGT28" s="4"/>
      <c r="AGU28" s="4"/>
      <c r="AGV28" s="4"/>
      <c r="AGW28" s="4"/>
      <c r="AGX28" s="4"/>
      <c r="AGY28" s="4"/>
      <c r="AGZ28" s="4"/>
      <c r="AHA28" s="4"/>
      <c r="AHB28" s="4"/>
      <c r="AHC28" s="4"/>
      <c r="AHD28" s="4"/>
      <c r="AHE28" s="4"/>
      <c r="AHF28" s="4"/>
      <c r="AHG28" s="4"/>
      <c r="AHH28" s="4"/>
      <c r="AHI28" s="4"/>
      <c r="AHJ28" s="4"/>
      <c r="AHK28" s="4"/>
      <c r="AHL28" s="4"/>
      <c r="AHM28" s="4"/>
      <c r="AHN28" s="4"/>
      <c r="AHO28" s="4"/>
      <c r="AHP28" s="4"/>
      <c r="AHQ28" s="4"/>
      <c r="AHR28" s="4"/>
      <c r="AHS28" s="4"/>
      <c r="AHT28" s="4"/>
      <c r="AHU28" s="4"/>
      <c r="AHV28" s="4"/>
      <c r="AHW28" s="4"/>
      <c r="AHX28" s="4"/>
      <c r="AHY28" s="4"/>
      <c r="AHZ28" s="4"/>
      <c r="AIA28" s="4"/>
      <c r="AIB28" s="4"/>
      <c r="AIC28" s="4"/>
      <c r="AID28" s="4"/>
      <c r="AIE28" s="4"/>
      <c r="AIF28" s="4"/>
      <c r="AIG28" s="4"/>
      <c r="AIH28" s="4"/>
      <c r="AII28" s="4"/>
      <c r="AIJ28" s="4"/>
      <c r="AIK28" s="4"/>
      <c r="AIL28" s="4"/>
      <c r="AIM28" s="4"/>
      <c r="AIN28" s="4"/>
      <c r="AIO28" s="4"/>
      <c r="AIP28" s="4"/>
      <c r="AIQ28" s="4"/>
      <c r="AIR28" s="4"/>
      <c r="AIS28" s="4"/>
      <c r="AIT28" s="4"/>
      <c r="AIU28" s="4"/>
      <c r="AIV28" s="4"/>
      <c r="AIW28" s="4"/>
      <c r="AIX28" s="4"/>
      <c r="AIY28" s="4"/>
      <c r="AIZ28" s="4"/>
      <c r="AJA28" s="4"/>
      <c r="AJB28" s="4"/>
      <c r="AJC28" s="4"/>
      <c r="AJD28" s="4"/>
      <c r="AJE28" s="4"/>
      <c r="AJF28" s="4"/>
      <c r="AJG28" s="4"/>
      <c r="AJH28" s="4"/>
      <c r="AJI28" s="4"/>
      <c r="AJJ28" s="4"/>
      <c r="AJK28" s="4"/>
      <c r="AJL28" s="4"/>
      <c r="AJM28" s="4"/>
      <c r="AJN28" s="4"/>
      <c r="AJO28" s="4"/>
      <c r="AJP28" s="4"/>
      <c r="AJQ28" s="4"/>
      <c r="AJR28" s="4"/>
      <c r="AJS28" s="4"/>
      <c r="AJT28" s="4"/>
      <c r="AJU28" s="4"/>
      <c r="AJV28" s="4"/>
      <c r="AJW28" s="4"/>
      <c r="AJX28" s="4"/>
      <c r="AJY28" s="4"/>
      <c r="AJZ28" s="4"/>
      <c r="AKA28" s="4"/>
      <c r="AKB28" s="4"/>
      <c r="AKC28" s="4"/>
      <c r="AKD28" s="4"/>
      <c r="AKE28" s="4"/>
      <c r="AKF28" s="4"/>
      <c r="AKG28" s="4"/>
      <c r="AKH28" s="4"/>
      <c r="AKI28" s="4"/>
      <c r="AKJ28" s="4"/>
      <c r="AKK28" s="4"/>
      <c r="AKL28" s="4"/>
      <c r="AKM28" s="4"/>
      <c r="AKN28" s="4"/>
      <c r="AKO28" s="4"/>
      <c r="AKP28" s="4"/>
      <c r="AKQ28" s="4"/>
      <c r="AKR28" s="4"/>
      <c r="AKS28" s="4"/>
      <c r="AKT28" s="4"/>
      <c r="AKU28" s="4"/>
      <c r="AKV28" s="4"/>
      <c r="AKW28" s="4"/>
      <c r="AKX28" s="4"/>
      <c r="AKY28" s="4"/>
      <c r="AKZ28" s="4"/>
      <c r="ALA28" s="4"/>
      <c r="ALB28" s="4"/>
      <c r="ALC28" s="4"/>
      <c r="ALD28" s="4"/>
      <c r="ALE28" s="4"/>
      <c r="ALF28" s="4"/>
      <c r="ALG28" s="4"/>
      <c r="ALH28" s="4"/>
      <c r="ALI28" s="4"/>
      <c r="ALJ28" s="4"/>
      <c r="ALK28" s="4"/>
      <c r="ALL28" s="4"/>
      <c r="ALM28" s="4"/>
      <c r="ALN28" s="4"/>
      <c r="ALO28" s="4"/>
      <c r="ALP28" s="4"/>
      <c r="ALQ28" s="4"/>
      <c r="ALR28" s="4"/>
      <c r="ALS28" s="4"/>
      <c r="ALT28" s="4"/>
      <c r="ALU28" s="4"/>
      <c r="ALV28" s="4"/>
      <c r="ALW28" s="4"/>
      <c r="ALX28" s="4"/>
      <c r="ALY28" s="4"/>
      <c r="ALZ28" s="4"/>
      <c r="AMA28" s="4"/>
      <c r="AMB28" s="4"/>
      <c r="AMC28" s="4"/>
      <c r="AMD28" s="4"/>
      <c r="AME28" s="4"/>
    </row>
    <row r="29" spans="1:1019" x14ac:dyDescent="0.25">
      <c r="A29" s="779"/>
      <c r="B29" s="779"/>
      <c r="C29" s="779"/>
      <c r="D29" s="72"/>
      <c r="E29" s="72"/>
      <c r="F29" s="72"/>
      <c r="G29" s="70"/>
      <c r="H29" s="72"/>
      <c r="I29" s="78" t="s">
        <v>149</v>
      </c>
      <c r="J29" s="79"/>
      <c r="K29" s="80"/>
      <c r="L29" s="70"/>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c r="AAA29" s="4"/>
      <c r="AAB29" s="4"/>
      <c r="AAC29" s="4"/>
      <c r="AAD29" s="4"/>
      <c r="AAE29" s="4"/>
      <c r="AAF29" s="4"/>
      <c r="AAG29" s="4"/>
      <c r="AAH29" s="4"/>
      <c r="AAI29" s="4"/>
      <c r="AAJ29" s="4"/>
      <c r="AAK29" s="4"/>
      <c r="AAL29" s="4"/>
      <c r="AAM29" s="4"/>
      <c r="AAN29" s="4"/>
      <c r="AAO29" s="4"/>
      <c r="AAP29" s="4"/>
      <c r="AAQ29" s="4"/>
      <c r="AAR29" s="4"/>
      <c r="AAS29" s="4"/>
      <c r="AAT29" s="4"/>
      <c r="AAU29" s="4"/>
      <c r="AAV29" s="4"/>
      <c r="AAW29" s="4"/>
      <c r="AAX29" s="4"/>
      <c r="AAY29" s="4"/>
      <c r="AAZ29" s="4"/>
      <c r="ABA29" s="4"/>
      <c r="ABB29" s="4"/>
      <c r="ABC29" s="4"/>
      <c r="ABD29" s="4"/>
      <c r="ABE29" s="4"/>
      <c r="ABF29" s="4"/>
      <c r="ABG29" s="4"/>
      <c r="ABH29" s="4"/>
      <c r="ABI29" s="4"/>
      <c r="ABJ29" s="4"/>
      <c r="ABK29" s="4"/>
      <c r="ABL29" s="4"/>
      <c r="ABM29" s="4"/>
      <c r="ABN29" s="4"/>
      <c r="ABO29" s="4"/>
      <c r="ABP29" s="4"/>
      <c r="ABQ29" s="4"/>
      <c r="ABR29" s="4"/>
      <c r="ABS29" s="4"/>
      <c r="ABT29" s="4"/>
      <c r="ABU29" s="4"/>
      <c r="ABV29" s="4"/>
      <c r="ABW29" s="4"/>
      <c r="ABX29" s="4"/>
      <c r="ABY29" s="4"/>
      <c r="ABZ29" s="4"/>
      <c r="ACA29" s="4"/>
      <c r="ACB29" s="4"/>
      <c r="ACC29" s="4"/>
      <c r="ACD29" s="4"/>
      <c r="ACE29" s="4"/>
      <c r="ACF29" s="4"/>
      <c r="ACG29" s="4"/>
      <c r="ACH29" s="4"/>
      <c r="ACI29" s="4"/>
      <c r="ACJ29" s="4"/>
      <c r="ACK29" s="4"/>
      <c r="ACL29" s="4"/>
      <c r="ACM29" s="4"/>
      <c r="ACN29" s="4"/>
      <c r="ACO29" s="4"/>
      <c r="ACP29" s="4"/>
      <c r="ACQ29" s="4"/>
      <c r="ACR29" s="4"/>
      <c r="ACS29" s="4"/>
      <c r="ACT29" s="4"/>
      <c r="ACU29" s="4"/>
      <c r="ACV29" s="4"/>
      <c r="ACW29" s="4"/>
      <c r="ACX29" s="4"/>
      <c r="ACY29" s="4"/>
      <c r="ACZ29" s="4"/>
      <c r="ADA29" s="4"/>
      <c r="ADB29" s="4"/>
      <c r="ADC29" s="4"/>
      <c r="ADD29" s="4"/>
      <c r="ADE29" s="4"/>
      <c r="ADF29" s="4"/>
      <c r="ADG29" s="4"/>
      <c r="ADH29" s="4"/>
      <c r="ADI29" s="4"/>
      <c r="ADJ29" s="4"/>
      <c r="ADK29" s="4"/>
      <c r="ADL29" s="4"/>
      <c r="ADM29" s="4"/>
      <c r="ADN29" s="4"/>
      <c r="ADO29" s="4"/>
      <c r="ADP29" s="4"/>
      <c r="ADQ29" s="4"/>
      <c r="ADR29" s="4"/>
      <c r="ADS29" s="4"/>
      <c r="ADT29" s="4"/>
      <c r="ADU29" s="4"/>
      <c r="ADV29" s="4"/>
      <c r="ADW29" s="4"/>
      <c r="ADX29" s="4"/>
      <c r="ADY29" s="4"/>
      <c r="ADZ29" s="4"/>
      <c r="AEA29" s="4"/>
      <c r="AEB29" s="4"/>
      <c r="AEC29" s="4"/>
      <c r="AED29" s="4"/>
      <c r="AEE29" s="4"/>
      <c r="AEF29" s="4"/>
      <c r="AEG29" s="4"/>
      <c r="AEH29" s="4"/>
      <c r="AEI29" s="4"/>
      <c r="AEJ29" s="4"/>
      <c r="AEK29" s="4"/>
      <c r="AEL29" s="4"/>
      <c r="AEM29" s="4"/>
      <c r="AEN29" s="4"/>
      <c r="AEO29" s="4"/>
      <c r="AEP29" s="4"/>
      <c r="AEQ29" s="4"/>
      <c r="AER29" s="4"/>
      <c r="AES29" s="4"/>
      <c r="AET29" s="4"/>
      <c r="AEU29" s="4"/>
      <c r="AEV29" s="4"/>
      <c r="AEW29" s="4"/>
      <c r="AEX29" s="4"/>
      <c r="AEY29" s="4"/>
      <c r="AEZ29" s="4"/>
      <c r="AFA29" s="4"/>
      <c r="AFB29" s="4"/>
      <c r="AFC29" s="4"/>
      <c r="AFD29" s="4"/>
      <c r="AFE29" s="4"/>
      <c r="AFF29" s="4"/>
      <c r="AFG29" s="4"/>
      <c r="AFH29" s="4"/>
      <c r="AFI29" s="4"/>
      <c r="AFJ29" s="4"/>
      <c r="AFK29" s="4"/>
      <c r="AFL29" s="4"/>
      <c r="AFM29" s="4"/>
      <c r="AFN29" s="4"/>
      <c r="AFO29" s="4"/>
      <c r="AFP29" s="4"/>
      <c r="AFQ29" s="4"/>
      <c r="AFR29" s="4"/>
      <c r="AFS29" s="4"/>
      <c r="AFT29" s="4"/>
      <c r="AFU29" s="4"/>
      <c r="AFV29" s="4"/>
      <c r="AFW29" s="4"/>
      <c r="AFX29" s="4"/>
      <c r="AFY29" s="4"/>
      <c r="AFZ29" s="4"/>
      <c r="AGA29" s="4"/>
      <c r="AGB29" s="4"/>
      <c r="AGC29" s="4"/>
      <c r="AGD29" s="4"/>
      <c r="AGE29" s="4"/>
      <c r="AGF29" s="4"/>
      <c r="AGG29" s="4"/>
      <c r="AGH29" s="4"/>
      <c r="AGI29" s="4"/>
      <c r="AGJ29" s="4"/>
      <c r="AGK29" s="4"/>
      <c r="AGL29" s="4"/>
      <c r="AGM29" s="4"/>
      <c r="AGN29" s="4"/>
      <c r="AGO29" s="4"/>
      <c r="AGP29" s="4"/>
      <c r="AGQ29" s="4"/>
      <c r="AGR29" s="4"/>
      <c r="AGS29" s="4"/>
      <c r="AGT29" s="4"/>
      <c r="AGU29" s="4"/>
      <c r="AGV29" s="4"/>
      <c r="AGW29" s="4"/>
      <c r="AGX29" s="4"/>
      <c r="AGY29" s="4"/>
      <c r="AGZ29" s="4"/>
      <c r="AHA29" s="4"/>
      <c r="AHB29" s="4"/>
      <c r="AHC29" s="4"/>
      <c r="AHD29" s="4"/>
      <c r="AHE29" s="4"/>
      <c r="AHF29" s="4"/>
      <c r="AHG29" s="4"/>
      <c r="AHH29" s="4"/>
      <c r="AHI29" s="4"/>
      <c r="AHJ29" s="4"/>
      <c r="AHK29" s="4"/>
      <c r="AHL29" s="4"/>
      <c r="AHM29" s="4"/>
      <c r="AHN29" s="4"/>
      <c r="AHO29" s="4"/>
      <c r="AHP29" s="4"/>
      <c r="AHQ29" s="4"/>
      <c r="AHR29" s="4"/>
      <c r="AHS29" s="4"/>
      <c r="AHT29" s="4"/>
      <c r="AHU29" s="4"/>
      <c r="AHV29" s="4"/>
      <c r="AHW29" s="4"/>
      <c r="AHX29" s="4"/>
      <c r="AHY29" s="4"/>
      <c r="AHZ29" s="4"/>
      <c r="AIA29" s="4"/>
      <c r="AIB29" s="4"/>
      <c r="AIC29" s="4"/>
      <c r="AID29" s="4"/>
      <c r="AIE29" s="4"/>
      <c r="AIF29" s="4"/>
      <c r="AIG29" s="4"/>
      <c r="AIH29" s="4"/>
      <c r="AII29" s="4"/>
      <c r="AIJ29" s="4"/>
      <c r="AIK29" s="4"/>
      <c r="AIL29" s="4"/>
      <c r="AIM29" s="4"/>
      <c r="AIN29" s="4"/>
      <c r="AIO29" s="4"/>
      <c r="AIP29" s="4"/>
      <c r="AIQ29" s="4"/>
      <c r="AIR29" s="4"/>
      <c r="AIS29" s="4"/>
      <c r="AIT29" s="4"/>
      <c r="AIU29" s="4"/>
      <c r="AIV29" s="4"/>
      <c r="AIW29" s="4"/>
      <c r="AIX29" s="4"/>
      <c r="AIY29" s="4"/>
      <c r="AIZ29" s="4"/>
      <c r="AJA29" s="4"/>
      <c r="AJB29" s="4"/>
      <c r="AJC29" s="4"/>
      <c r="AJD29" s="4"/>
      <c r="AJE29" s="4"/>
      <c r="AJF29" s="4"/>
      <c r="AJG29" s="4"/>
      <c r="AJH29" s="4"/>
      <c r="AJI29" s="4"/>
      <c r="AJJ29" s="4"/>
      <c r="AJK29" s="4"/>
      <c r="AJL29" s="4"/>
      <c r="AJM29" s="4"/>
      <c r="AJN29" s="4"/>
      <c r="AJO29" s="4"/>
      <c r="AJP29" s="4"/>
      <c r="AJQ29" s="4"/>
      <c r="AJR29" s="4"/>
      <c r="AJS29" s="4"/>
      <c r="AJT29" s="4"/>
      <c r="AJU29" s="4"/>
      <c r="AJV29" s="4"/>
      <c r="AJW29" s="4"/>
      <c r="AJX29" s="4"/>
      <c r="AJY29" s="4"/>
      <c r="AJZ29" s="4"/>
      <c r="AKA29" s="4"/>
      <c r="AKB29" s="4"/>
      <c r="AKC29" s="4"/>
      <c r="AKD29" s="4"/>
      <c r="AKE29" s="4"/>
      <c r="AKF29" s="4"/>
      <c r="AKG29" s="4"/>
      <c r="AKH29" s="4"/>
      <c r="AKI29" s="4"/>
      <c r="AKJ29" s="4"/>
      <c r="AKK29" s="4"/>
      <c r="AKL29" s="4"/>
      <c r="AKM29" s="4"/>
      <c r="AKN29" s="4"/>
      <c r="AKO29" s="4"/>
      <c r="AKP29" s="4"/>
      <c r="AKQ29" s="4"/>
      <c r="AKR29" s="4"/>
      <c r="AKS29" s="4"/>
      <c r="AKT29" s="4"/>
      <c r="AKU29" s="4"/>
      <c r="AKV29" s="4"/>
      <c r="AKW29" s="4"/>
      <c r="AKX29" s="4"/>
      <c r="AKY29" s="4"/>
      <c r="AKZ29" s="4"/>
      <c r="ALA29" s="4"/>
      <c r="ALB29" s="4"/>
      <c r="ALC29" s="4"/>
      <c r="ALD29" s="4"/>
      <c r="ALE29" s="4"/>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c r="AMD29" s="4"/>
      <c r="AME29" s="4"/>
    </row>
    <row r="30" spans="1:1019" ht="14.45" customHeight="1" x14ac:dyDescent="0.25">
      <c r="A30" s="76" t="s">
        <v>89</v>
      </c>
      <c r="B30" s="77" t="s">
        <v>93</v>
      </c>
      <c r="C30" s="77">
        <f>ROUND(0.2*C31+0.8*0.05,3)</f>
        <v>5.0999999999999997E-2</v>
      </c>
      <c r="D30" s="81"/>
      <c r="E30" s="81"/>
      <c r="F30" s="81"/>
      <c r="G30" s="81"/>
      <c r="H30" s="81"/>
      <c r="I30" s="78" t="s">
        <v>79</v>
      </c>
      <c r="J30" s="79"/>
      <c r="K30" s="80"/>
      <c r="L30" s="70"/>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c r="ZQ30" s="4"/>
      <c r="ZR30" s="4"/>
      <c r="ZS30" s="4"/>
      <c r="ZT30" s="4"/>
      <c r="ZU30" s="4"/>
      <c r="ZV30" s="4"/>
      <c r="ZW30" s="4"/>
      <c r="ZX30" s="4"/>
      <c r="ZY30" s="4"/>
      <c r="ZZ30" s="4"/>
      <c r="AAA30" s="4"/>
      <c r="AAB30" s="4"/>
      <c r="AAC30" s="4"/>
      <c r="AAD30" s="4"/>
      <c r="AAE30" s="4"/>
      <c r="AAF30" s="4"/>
      <c r="AAG30" s="4"/>
      <c r="AAH30" s="4"/>
      <c r="AAI30" s="4"/>
      <c r="AAJ30" s="4"/>
      <c r="AAK30" s="4"/>
      <c r="AAL30" s="4"/>
      <c r="AAM30" s="4"/>
      <c r="AAN30" s="4"/>
      <c r="AAO30" s="4"/>
      <c r="AAP30" s="4"/>
      <c r="AAQ30" s="4"/>
      <c r="AAR30" s="4"/>
      <c r="AAS30" s="4"/>
      <c r="AAT30" s="4"/>
      <c r="AAU30" s="4"/>
      <c r="AAV30" s="4"/>
      <c r="AAW30" s="4"/>
      <c r="AAX30" s="4"/>
      <c r="AAY30" s="4"/>
      <c r="AAZ30" s="4"/>
      <c r="ABA30" s="4"/>
      <c r="ABB30" s="4"/>
      <c r="ABC30" s="4"/>
      <c r="ABD30" s="4"/>
      <c r="ABE30" s="4"/>
      <c r="ABF30" s="4"/>
      <c r="ABG30" s="4"/>
      <c r="ABH30" s="4"/>
      <c r="ABI30" s="4"/>
      <c r="ABJ30" s="4"/>
      <c r="ABK30" s="4"/>
      <c r="ABL30" s="4"/>
      <c r="ABM30" s="4"/>
      <c r="ABN30" s="4"/>
      <c r="ABO30" s="4"/>
      <c r="ABP30" s="4"/>
      <c r="ABQ30" s="4"/>
      <c r="ABR30" s="4"/>
      <c r="ABS30" s="4"/>
      <c r="ABT30" s="4"/>
      <c r="ABU30" s="4"/>
      <c r="ABV30" s="4"/>
      <c r="ABW30" s="4"/>
      <c r="ABX30" s="4"/>
      <c r="ABY30" s="4"/>
      <c r="ABZ30" s="4"/>
      <c r="ACA30" s="4"/>
      <c r="ACB30" s="4"/>
      <c r="ACC30" s="4"/>
      <c r="ACD30" s="4"/>
      <c r="ACE30" s="4"/>
      <c r="ACF30" s="4"/>
      <c r="ACG30" s="4"/>
      <c r="ACH30" s="4"/>
      <c r="ACI30" s="4"/>
      <c r="ACJ30" s="4"/>
      <c r="ACK30" s="4"/>
      <c r="ACL30" s="4"/>
      <c r="ACM30" s="4"/>
      <c r="ACN30" s="4"/>
      <c r="ACO30" s="4"/>
      <c r="ACP30" s="4"/>
      <c r="ACQ30" s="4"/>
      <c r="ACR30" s="4"/>
      <c r="ACS30" s="4"/>
      <c r="ACT30" s="4"/>
      <c r="ACU30" s="4"/>
      <c r="ACV30" s="4"/>
      <c r="ACW30" s="4"/>
      <c r="ACX30" s="4"/>
      <c r="ACY30" s="4"/>
      <c r="ACZ30" s="4"/>
      <c r="ADA30" s="4"/>
      <c r="ADB30" s="4"/>
      <c r="ADC30" s="4"/>
      <c r="ADD30" s="4"/>
      <c r="ADE30" s="4"/>
      <c r="ADF30" s="4"/>
      <c r="ADG30" s="4"/>
      <c r="ADH30" s="4"/>
      <c r="ADI30" s="4"/>
      <c r="ADJ30" s="4"/>
      <c r="ADK30" s="4"/>
      <c r="ADL30" s="4"/>
      <c r="ADM30" s="4"/>
      <c r="ADN30" s="4"/>
      <c r="ADO30" s="4"/>
      <c r="ADP30" s="4"/>
      <c r="ADQ30" s="4"/>
      <c r="ADR30" s="4"/>
      <c r="ADS30" s="4"/>
      <c r="ADT30" s="4"/>
      <c r="ADU30" s="4"/>
      <c r="ADV30" s="4"/>
      <c r="ADW30" s="4"/>
      <c r="ADX30" s="4"/>
      <c r="ADY30" s="4"/>
      <c r="ADZ30" s="4"/>
      <c r="AEA30" s="4"/>
      <c r="AEB30" s="4"/>
      <c r="AEC30" s="4"/>
      <c r="AED30" s="4"/>
      <c r="AEE30" s="4"/>
      <c r="AEF30" s="4"/>
      <c r="AEG30" s="4"/>
      <c r="AEH30" s="4"/>
      <c r="AEI30" s="4"/>
      <c r="AEJ30" s="4"/>
      <c r="AEK30" s="4"/>
      <c r="AEL30" s="4"/>
      <c r="AEM30" s="4"/>
      <c r="AEN30" s="4"/>
      <c r="AEO30" s="4"/>
      <c r="AEP30" s="4"/>
      <c r="AEQ30" s="4"/>
      <c r="AER30" s="4"/>
      <c r="AES30" s="4"/>
      <c r="AET30" s="4"/>
      <c r="AEU30" s="4"/>
      <c r="AEV30" s="4"/>
      <c r="AEW30" s="4"/>
      <c r="AEX30" s="4"/>
      <c r="AEY30" s="4"/>
      <c r="AEZ30" s="4"/>
      <c r="AFA30" s="4"/>
      <c r="AFB30" s="4"/>
      <c r="AFC30" s="4"/>
      <c r="AFD30" s="4"/>
      <c r="AFE30" s="4"/>
      <c r="AFF30" s="4"/>
      <c r="AFG30" s="4"/>
      <c r="AFH30" s="4"/>
      <c r="AFI30" s="4"/>
      <c r="AFJ30" s="4"/>
      <c r="AFK30" s="4"/>
      <c r="AFL30" s="4"/>
      <c r="AFM30" s="4"/>
      <c r="AFN30" s="4"/>
      <c r="AFO30" s="4"/>
      <c r="AFP30" s="4"/>
      <c r="AFQ30" s="4"/>
      <c r="AFR30" s="4"/>
      <c r="AFS30" s="4"/>
      <c r="AFT30" s="4"/>
      <c r="AFU30" s="4"/>
      <c r="AFV30" s="4"/>
      <c r="AFW30" s="4"/>
      <c r="AFX30" s="4"/>
      <c r="AFY30" s="4"/>
      <c r="AFZ30" s="4"/>
      <c r="AGA30" s="4"/>
      <c r="AGB30" s="4"/>
      <c r="AGC30" s="4"/>
      <c r="AGD30" s="4"/>
      <c r="AGE30" s="4"/>
      <c r="AGF30" s="4"/>
      <c r="AGG30" s="4"/>
      <c r="AGH30" s="4"/>
      <c r="AGI30" s="4"/>
      <c r="AGJ30" s="4"/>
      <c r="AGK30" s="4"/>
      <c r="AGL30" s="4"/>
      <c r="AGM30" s="4"/>
      <c r="AGN30" s="4"/>
      <c r="AGO30" s="4"/>
      <c r="AGP30" s="4"/>
      <c r="AGQ30" s="4"/>
      <c r="AGR30" s="4"/>
      <c r="AGS30" s="4"/>
      <c r="AGT30" s="4"/>
      <c r="AGU30" s="4"/>
      <c r="AGV30" s="4"/>
      <c r="AGW30" s="4"/>
      <c r="AGX30" s="4"/>
      <c r="AGY30" s="4"/>
      <c r="AGZ30" s="4"/>
      <c r="AHA30" s="4"/>
      <c r="AHB30" s="4"/>
      <c r="AHC30" s="4"/>
      <c r="AHD30" s="4"/>
      <c r="AHE30" s="4"/>
      <c r="AHF30" s="4"/>
      <c r="AHG30" s="4"/>
      <c r="AHH30" s="4"/>
      <c r="AHI30" s="4"/>
      <c r="AHJ30" s="4"/>
      <c r="AHK30" s="4"/>
      <c r="AHL30" s="4"/>
      <c r="AHM30" s="4"/>
      <c r="AHN30" s="4"/>
      <c r="AHO30" s="4"/>
      <c r="AHP30" s="4"/>
      <c r="AHQ30" s="4"/>
      <c r="AHR30" s="4"/>
      <c r="AHS30" s="4"/>
      <c r="AHT30" s="4"/>
      <c r="AHU30" s="4"/>
      <c r="AHV30" s="4"/>
      <c r="AHW30" s="4"/>
      <c r="AHX30" s="4"/>
      <c r="AHY30" s="4"/>
      <c r="AHZ30" s="4"/>
      <c r="AIA30" s="4"/>
      <c r="AIB30" s="4"/>
      <c r="AIC30" s="4"/>
      <c r="AID30" s="4"/>
      <c r="AIE30" s="4"/>
      <c r="AIF30" s="4"/>
      <c r="AIG30" s="4"/>
      <c r="AIH30" s="4"/>
      <c r="AII30" s="4"/>
      <c r="AIJ30" s="4"/>
      <c r="AIK30" s="4"/>
      <c r="AIL30" s="4"/>
      <c r="AIM30" s="4"/>
      <c r="AIN30" s="4"/>
      <c r="AIO30" s="4"/>
      <c r="AIP30" s="4"/>
      <c r="AIQ30" s="4"/>
      <c r="AIR30" s="4"/>
      <c r="AIS30" s="4"/>
      <c r="AIT30" s="4"/>
      <c r="AIU30" s="4"/>
      <c r="AIV30" s="4"/>
      <c r="AIW30" s="4"/>
      <c r="AIX30" s="4"/>
      <c r="AIY30" s="4"/>
      <c r="AIZ30" s="4"/>
      <c r="AJA30" s="4"/>
      <c r="AJB30" s="4"/>
      <c r="AJC30" s="4"/>
      <c r="AJD30" s="4"/>
      <c r="AJE30" s="4"/>
      <c r="AJF30" s="4"/>
      <c r="AJG30" s="4"/>
      <c r="AJH30" s="4"/>
      <c r="AJI30" s="4"/>
      <c r="AJJ30" s="4"/>
      <c r="AJK30" s="4"/>
      <c r="AJL30" s="4"/>
      <c r="AJM30" s="4"/>
      <c r="AJN30" s="4"/>
      <c r="AJO30" s="4"/>
      <c r="AJP30" s="4"/>
      <c r="AJQ30" s="4"/>
      <c r="AJR30" s="4"/>
      <c r="AJS30" s="4"/>
      <c r="AJT30" s="4"/>
      <c r="AJU30" s="4"/>
      <c r="AJV30" s="4"/>
      <c r="AJW30" s="4"/>
      <c r="AJX30" s="4"/>
      <c r="AJY30" s="4"/>
      <c r="AJZ30" s="4"/>
      <c r="AKA30" s="4"/>
      <c r="AKB30" s="4"/>
      <c r="AKC30" s="4"/>
      <c r="AKD30" s="4"/>
      <c r="AKE30" s="4"/>
      <c r="AKF30" s="4"/>
      <c r="AKG30" s="4"/>
      <c r="AKH30" s="4"/>
      <c r="AKI30" s="4"/>
      <c r="AKJ30" s="4"/>
      <c r="AKK30" s="4"/>
      <c r="AKL30" s="4"/>
      <c r="AKM30" s="4"/>
      <c r="AKN30" s="4"/>
      <c r="AKO30" s="4"/>
      <c r="AKP30" s="4"/>
      <c r="AKQ30" s="4"/>
      <c r="AKR30" s="4"/>
      <c r="AKS30" s="4"/>
      <c r="AKT30" s="4"/>
      <c r="AKU30" s="4"/>
      <c r="AKV30" s="4"/>
      <c r="AKW30" s="4"/>
      <c r="AKX30" s="4"/>
      <c r="AKY30" s="4"/>
      <c r="AKZ30" s="4"/>
      <c r="ALA30" s="4"/>
      <c r="ALB30" s="4"/>
      <c r="ALC30" s="4"/>
      <c r="ALD30" s="4"/>
      <c r="ALE30" s="4"/>
      <c r="ALF30" s="4"/>
      <c r="ALG30" s="4"/>
      <c r="ALH30" s="4"/>
      <c r="ALI30" s="4"/>
      <c r="ALJ30" s="4"/>
      <c r="ALK30" s="4"/>
      <c r="ALL30" s="4"/>
      <c r="ALM30" s="4"/>
      <c r="ALN30" s="4"/>
      <c r="ALO30" s="4"/>
      <c r="ALP30" s="4"/>
      <c r="ALQ30" s="4"/>
      <c r="ALR30" s="4"/>
      <c r="ALS30" s="4"/>
      <c r="ALT30" s="4"/>
      <c r="ALU30" s="4"/>
      <c r="ALV30" s="4"/>
      <c r="ALW30" s="4"/>
      <c r="ALX30" s="4"/>
      <c r="ALY30" s="4"/>
      <c r="ALZ30" s="4"/>
      <c r="AMA30" s="4"/>
      <c r="AMB30" s="4"/>
      <c r="AMC30" s="4"/>
      <c r="AMD30" s="4"/>
      <c r="AME30" s="4"/>
    </row>
    <row r="31" spans="1:1019" x14ac:dyDescent="0.25">
      <c r="A31" s="76" t="s">
        <v>49</v>
      </c>
      <c r="B31" s="77" t="s">
        <v>93</v>
      </c>
      <c r="C31" s="77">
        <f>ROUND(0.139/0.127*0.05,3)</f>
        <v>5.5E-2</v>
      </c>
      <c r="D31" s="81"/>
      <c r="E31" s="81"/>
      <c r="F31" s="81"/>
      <c r="G31" s="81"/>
      <c r="H31" s="81"/>
      <c r="I31" s="78" t="s">
        <v>80</v>
      </c>
      <c r="J31" s="79"/>
      <c r="K31" s="80"/>
      <c r="L31" s="70"/>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4"/>
      <c r="VM31" s="4"/>
      <c r="VN31" s="4"/>
      <c r="VO31" s="4"/>
      <c r="VP31" s="4"/>
      <c r="VQ31" s="4"/>
      <c r="VR31" s="4"/>
      <c r="VS31" s="4"/>
      <c r="VT31" s="4"/>
      <c r="VU31" s="4"/>
      <c r="VV31" s="4"/>
      <c r="VW31" s="4"/>
      <c r="VX31" s="4"/>
      <c r="VY31" s="4"/>
      <c r="VZ31" s="4"/>
      <c r="WA31" s="4"/>
      <c r="WB31" s="4"/>
      <c r="WC31" s="4"/>
      <c r="WD31" s="4"/>
      <c r="WE31" s="4"/>
      <c r="WF31" s="4"/>
      <c r="WG31" s="4"/>
      <c r="WH31" s="4"/>
      <c r="WI31" s="4"/>
      <c r="WJ31" s="4"/>
      <c r="WK31" s="4"/>
      <c r="WL31" s="4"/>
      <c r="WM31" s="4"/>
      <c r="WN31" s="4"/>
      <c r="WO31" s="4"/>
      <c r="WP31" s="4"/>
      <c r="WQ31" s="4"/>
      <c r="WR31" s="4"/>
      <c r="WS31" s="4"/>
      <c r="WT31" s="4"/>
      <c r="WU31" s="4"/>
      <c r="WV31" s="4"/>
      <c r="WW31" s="4"/>
      <c r="WX31" s="4"/>
      <c r="WY31" s="4"/>
      <c r="WZ31" s="4"/>
      <c r="XA31" s="4"/>
      <c r="XB31" s="4"/>
      <c r="XC31" s="4"/>
      <c r="XD31" s="4"/>
      <c r="XE31" s="4"/>
      <c r="XF31" s="4"/>
      <c r="XG31" s="4"/>
      <c r="XH31" s="4"/>
      <c r="XI31" s="4"/>
      <c r="XJ31" s="4"/>
      <c r="XK31" s="4"/>
      <c r="XL31" s="4"/>
      <c r="XM31" s="4"/>
      <c r="XN31" s="4"/>
      <c r="XO31" s="4"/>
      <c r="XP31" s="4"/>
      <c r="XQ31" s="4"/>
      <c r="XR31" s="4"/>
      <c r="XS31" s="4"/>
      <c r="XT31" s="4"/>
      <c r="XU31" s="4"/>
      <c r="XV31" s="4"/>
      <c r="XW31" s="4"/>
      <c r="XX31" s="4"/>
      <c r="XY31" s="4"/>
      <c r="XZ31" s="4"/>
      <c r="YA31" s="4"/>
      <c r="YB31" s="4"/>
      <c r="YC31" s="4"/>
      <c r="YD31" s="4"/>
      <c r="YE31" s="4"/>
      <c r="YF31" s="4"/>
      <c r="YG31" s="4"/>
      <c r="YH31" s="4"/>
      <c r="YI31" s="4"/>
      <c r="YJ31" s="4"/>
      <c r="YK31" s="4"/>
      <c r="YL31" s="4"/>
      <c r="YM31" s="4"/>
      <c r="YN31" s="4"/>
      <c r="YO31" s="4"/>
      <c r="YP31" s="4"/>
      <c r="YQ31" s="4"/>
      <c r="YR31" s="4"/>
      <c r="YS31" s="4"/>
      <c r="YT31" s="4"/>
      <c r="YU31" s="4"/>
      <c r="YV31" s="4"/>
      <c r="YW31" s="4"/>
      <c r="YX31" s="4"/>
      <c r="YY31" s="4"/>
      <c r="YZ31" s="4"/>
      <c r="ZA31" s="4"/>
      <c r="ZB31" s="4"/>
      <c r="ZC31" s="4"/>
      <c r="ZD31" s="4"/>
      <c r="ZE31" s="4"/>
      <c r="ZF31" s="4"/>
      <c r="ZG31" s="4"/>
      <c r="ZH31" s="4"/>
      <c r="ZI31" s="4"/>
      <c r="ZJ31" s="4"/>
      <c r="ZK31" s="4"/>
      <c r="ZL31" s="4"/>
      <c r="ZM31" s="4"/>
      <c r="ZN31" s="4"/>
      <c r="ZO31" s="4"/>
      <c r="ZP31" s="4"/>
      <c r="ZQ31" s="4"/>
      <c r="ZR31" s="4"/>
      <c r="ZS31" s="4"/>
      <c r="ZT31" s="4"/>
      <c r="ZU31" s="4"/>
      <c r="ZV31" s="4"/>
      <c r="ZW31" s="4"/>
      <c r="ZX31" s="4"/>
      <c r="ZY31" s="4"/>
      <c r="ZZ31" s="4"/>
      <c r="AAA31" s="4"/>
      <c r="AAB31" s="4"/>
      <c r="AAC31" s="4"/>
      <c r="AAD31" s="4"/>
      <c r="AAE31" s="4"/>
      <c r="AAF31" s="4"/>
      <c r="AAG31" s="4"/>
      <c r="AAH31" s="4"/>
      <c r="AAI31" s="4"/>
      <c r="AAJ31" s="4"/>
      <c r="AAK31" s="4"/>
      <c r="AAL31" s="4"/>
      <c r="AAM31" s="4"/>
      <c r="AAN31" s="4"/>
      <c r="AAO31" s="4"/>
      <c r="AAP31" s="4"/>
      <c r="AAQ31" s="4"/>
      <c r="AAR31" s="4"/>
      <c r="AAS31" s="4"/>
      <c r="AAT31" s="4"/>
      <c r="AAU31" s="4"/>
      <c r="AAV31" s="4"/>
      <c r="AAW31" s="4"/>
      <c r="AAX31" s="4"/>
      <c r="AAY31" s="4"/>
      <c r="AAZ31" s="4"/>
      <c r="ABA31" s="4"/>
      <c r="ABB31" s="4"/>
      <c r="ABC31" s="4"/>
      <c r="ABD31" s="4"/>
      <c r="ABE31" s="4"/>
      <c r="ABF31" s="4"/>
      <c r="ABG31" s="4"/>
      <c r="ABH31" s="4"/>
      <c r="ABI31" s="4"/>
      <c r="ABJ31" s="4"/>
      <c r="ABK31" s="4"/>
      <c r="ABL31" s="4"/>
      <c r="ABM31" s="4"/>
      <c r="ABN31" s="4"/>
      <c r="ABO31" s="4"/>
      <c r="ABP31" s="4"/>
      <c r="ABQ31" s="4"/>
      <c r="ABR31" s="4"/>
      <c r="ABS31" s="4"/>
      <c r="ABT31" s="4"/>
      <c r="ABU31" s="4"/>
      <c r="ABV31" s="4"/>
      <c r="ABW31" s="4"/>
      <c r="ABX31" s="4"/>
      <c r="ABY31" s="4"/>
      <c r="ABZ31" s="4"/>
      <c r="ACA31" s="4"/>
      <c r="ACB31" s="4"/>
      <c r="ACC31" s="4"/>
      <c r="ACD31" s="4"/>
      <c r="ACE31" s="4"/>
      <c r="ACF31" s="4"/>
      <c r="ACG31" s="4"/>
      <c r="ACH31" s="4"/>
      <c r="ACI31" s="4"/>
      <c r="ACJ31" s="4"/>
      <c r="ACK31" s="4"/>
      <c r="ACL31" s="4"/>
      <c r="ACM31" s="4"/>
      <c r="ACN31" s="4"/>
      <c r="ACO31" s="4"/>
      <c r="ACP31" s="4"/>
      <c r="ACQ31" s="4"/>
      <c r="ACR31" s="4"/>
      <c r="ACS31" s="4"/>
      <c r="ACT31" s="4"/>
      <c r="ACU31" s="4"/>
      <c r="ACV31" s="4"/>
      <c r="ACW31" s="4"/>
      <c r="ACX31" s="4"/>
      <c r="ACY31" s="4"/>
      <c r="ACZ31" s="4"/>
      <c r="ADA31" s="4"/>
      <c r="ADB31" s="4"/>
      <c r="ADC31" s="4"/>
      <c r="ADD31" s="4"/>
      <c r="ADE31" s="4"/>
      <c r="ADF31" s="4"/>
      <c r="ADG31" s="4"/>
      <c r="ADH31" s="4"/>
      <c r="ADI31" s="4"/>
      <c r="ADJ31" s="4"/>
      <c r="ADK31" s="4"/>
      <c r="ADL31" s="4"/>
      <c r="ADM31" s="4"/>
      <c r="ADN31" s="4"/>
      <c r="ADO31" s="4"/>
      <c r="ADP31" s="4"/>
      <c r="ADQ31" s="4"/>
      <c r="ADR31" s="4"/>
      <c r="ADS31" s="4"/>
      <c r="ADT31" s="4"/>
      <c r="ADU31" s="4"/>
      <c r="ADV31" s="4"/>
      <c r="ADW31" s="4"/>
      <c r="ADX31" s="4"/>
      <c r="ADY31" s="4"/>
      <c r="ADZ31" s="4"/>
      <c r="AEA31" s="4"/>
      <c r="AEB31" s="4"/>
      <c r="AEC31" s="4"/>
      <c r="AED31" s="4"/>
      <c r="AEE31" s="4"/>
      <c r="AEF31" s="4"/>
      <c r="AEG31" s="4"/>
      <c r="AEH31" s="4"/>
      <c r="AEI31" s="4"/>
      <c r="AEJ31" s="4"/>
      <c r="AEK31" s="4"/>
      <c r="AEL31" s="4"/>
      <c r="AEM31" s="4"/>
      <c r="AEN31" s="4"/>
      <c r="AEO31" s="4"/>
      <c r="AEP31" s="4"/>
      <c r="AEQ31" s="4"/>
      <c r="AER31" s="4"/>
      <c r="AES31" s="4"/>
      <c r="AET31" s="4"/>
      <c r="AEU31" s="4"/>
      <c r="AEV31" s="4"/>
      <c r="AEW31" s="4"/>
      <c r="AEX31" s="4"/>
      <c r="AEY31" s="4"/>
      <c r="AEZ31" s="4"/>
      <c r="AFA31" s="4"/>
      <c r="AFB31" s="4"/>
      <c r="AFC31" s="4"/>
      <c r="AFD31" s="4"/>
      <c r="AFE31" s="4"/>
      <c r="AFF31" s="4"/>
      <c r="AFG31" s="4"/>
      <c r="AFH31" s="4"/>
      <c r="AFI31" s="4"/>
      <c r="AFJ31" s="4"/>
      <c r="AFK31" s="4"/>
      <c r="AFL31" s="4"/>
      <c r="AFM31" s="4"/>
      <c r="AFN31" s="4"/>
      <c r="AFO31" s="4"/>
      <c r="AFP31" s="4"/>
      <c r="AFQ31" s="4"/>
      <c r="AFR31" s="4"/>
      <c r="AFS31" s="4"/>
      <c r="AFT31" s="4"/>
      <c r="AFU31" s="4"/>
      <c r="AFV31" s="4"/>
      <c r="AFW31" s="4"/>
      <c r="AFX31" s="4"/>
      <c r="AFY31" s="4"/>
      <c r="AFZ31" s="4"/>
      <c r="AGA31" s="4"/>
      <c r="AGB31" s="4"/>
      <c r="AGC31" s="4"/>
      <c r="AGD31" s="4"/>
      <c r="AGE31" s="4"/>
      <c r="AGF31" s="4"/>
      <c r="AGG31" s="4"/>
      <c r="AGH31" s="4"/>
      <c r="AGI31" s="4"/>
      <c r="AGJ31" s="4"/>
      <c r="AGK31" s="4"/>
      <c r="AGL31" s="4"/>
      <c r="AGM31" s="4"/>
      <c r="AGN31" s="4"/>
      <c r="AGO31" s="4"/>
      <c r="AGP31" s="4"/>
      <c r="AGQ31" s="4"/>
      <c r="AGR31" s="4"/>
      <c r="AGS31" s="4"/>
      <c r="AGT31" s="4"/>
      <c r="AGU31" s="4"/>
      <c r="AGV31" s="4"/>
      <c r="AGW31" s="4"/>
      <c r="AGX31" s="4"/>
      <c r="AGY31" s="4"/>
      <c r="AGZ31" s="4"/>
      <c r="AHA31" s="4"/>
      <c r="AHB31" s="4"/>
      <c r="AHC31" s="4"/>
      <c r="AHD31" s="4"/>
      <c r="AHE31" s="4"/>
      <c r="AHF31" s="4"/>
      <c r="AHG31" s="4"/>
      <c r="AHH31" s="4"/>
      <c r="AHI31" s="4"/>
      <c r="AHJ31" s="4"/>
      <c r="AHK31" s="4"/>
      <c r="AHL31" s="4"/>
      <c r="AHM31" s="4"/>
      <c r="AHN31" s="4"/>
      <c r="AHO31" s="4"/>
      <c r="AHP31" s="4"/>
      <c r="AHQ31" s="4"/>
      <c r="AHR31" s="4"/>
      <c r="AHS31" s="4"/>
      <c r="AHT31" s="4"/>
      <c r="AHU31" s="4"/>
      <c r="AHV31" s="4"/>
      <c r="AHW31" s="4"/>
      <c r="AHX31" s="4"/>
      <c r="AHY31" s="4"/>
      <c r="AHZ31" s="4"/>
      <c r="AIA31" s="4"/>
      <c r="AIB31" s="4"/>
      <c r="AIC31" s="4"/>
      <c r="AID31" s="4"/>
      <c r="AIE31" s="4"/>
      <c r="AIF31" s="4"/>
      <c r="AIG31" s="4"/>
      <c r="AIH31" s="4"/>
      <c r="AII31" s="4"/>
      <c r="AIJ31" s="4"/>
      <c r="AIK31" s="4"/>
      <c r="AIL31" s="4"/>
      <c r="AIM31" s="4"/>
      <c r="AIN31" s="4"/>
      <c r="AIO31" s="4"/>
      <c r="AIP31" s="4"/>
      <c r="AIQ31" s="4"/>
      <c r="AIR31" s="4"/>
      <c r="AIS31" s="4"/>
      <c r="AIT31" s="4"/>
      <c r="AIU31" s="4"/>
      <c r="AIV31" s="4"/>
      <c r="AIW31" s="4"/>
      <c r="AIX31" s="4"/>
      <c r="AIY31" s="4"/>
      <c r="AIZ31" s="4"/>
      <c r="AJA31" s="4"/>
      <c r="AJB31" s="4"/>
      <c r="AJC31" s="4"/>
      <c r="AJD31" s="4"/>
      <c r="AJE31" s="4"/>
      <c r="AJF31" s="4"/>
      <c r="AJG31" s="4"/>
      <c r="AJH31" s="4"/>
      <c r="AJI31" s="4"/>
      <c r="AJJ31" s="4"/>
      <c r="AJK31" s="4"/>
      <c r="AJL31" s="4"/>
      <c r="AJM31" s="4"/>
      <c r="AJN31" s="4"/>
      <c r="AJO31" s="4"/>
      <c r="AJP31" s="4"/>
      <c r="AJQ31" s="4"/>
      <c r="AJR31" s="4"/>
      <c r="AJS31" s="4"/>
      <c r="AJT31" s="4"/>
      <c r="AJU31" s="4"/>
      <c r="AJV31" s="4"/>
      <c r="AJW31" s="4"/>
      <c r="AJX31" s="4"/>
      <c r="AJY31" s="4"/>
      <c r="AJZ31" s="4"/>
      <c r="AKA31" s="4"/>
      <c r="AKB31" s="4"/>
      <c r="AKC31" s="4"/>
      <c r="AKD31" s="4"/>
      <c r="AKE31" s="4"/>
      <c r="AKF31" s="4"/>
      <c r="AKG31" s="4"/>
      <c r="AKH31" s="4"/>
      <c r="AKI31" s="4"/>
      <c r="AKJ31" s="4"/>
      <c r="AKK31" s="4"/>
      <c r="AKL31" s="4"/>
      <c r="AKM31" s="4"/>
      <c r="AKN31" s="4"/>
      <c r="AKO31" s="4"/>
      <c r="AKP31" s="4"/>
      <c r="AKQ31" s="4"/>
      <c r="AKR31" s="4"/>
      <c r="AKS31" s="4"/>
      <c r="AKT31" s="4"/>
      <c r="AKU31" s="4"/>
      <c r="AKV31" s="4"/>
      <c r="AKW31" s="4"/>
      <c r="AKX31" s="4"/>
      <c r="AKY31" s="4"/>
      <c r="AKZ31" s="4"/>
      <c r="ALA31" s="4"/>
      <c r="ALB31" s="4"/>
      <c r="ALC31" s="4"/>
      <c r="ALD31" s="4"/>
      <c r="ALE31" s="4"/>
      <c r="ALF31" s="4"/>
      <c r="ALG31" s="4"/>
      <c r="ALH31" s="4"/>
      <c r="ALI31" s="4"/>
      <c r="ALJ31" s="4"/>
      <c r="ALK31" s="4"/>
      <c r="ALL31" s="4"/>
      <c r="ALM31" s="4"/>
      <c r="ALN31" s="4"/>
      <c r="ALO31" s="4"/>
      <c r="ALP31" s="4"/>
      <c r="ALQ31" s="4"/>
      <c r="ALR31" s="4"/>
      <c r="ALS31" s="4"/>
      <c r="ALT31" s="4"/>
      <c r="ALU31" s="4"/>
      <c r="ALV31" s="4"/>
      <c r="ALW31" s="4"/>
      <c r="ALX31" s="4"/>
      <c r="ALY31" s="4"/>
      <c r="ALZ31" s="4"/>
      <c r="AMA31" s="4"/>
      <c r="AMB31" s="4"/>
      <c r="AMC31" s="4"/>
      <c r="AMD31" s="4"/>
      <c r="AME31" s="4"/>
    </row>
    <row r="32" spans="1:1019" ht="15" customHeight="1" x14ac:dyDescent="0.25">
      <c r="A32" s="76" t="s">
        <v>662</v>
      </c>
      <c r="B32" s="77" t="s">
        <v>138</v>
      </c>
      <c r="C32" s="359">
        <f>1/2031</f>
        <v>4.9236829148202859E-4</v>
      </c>
      <c r="D32" s="81"/>
      <c r="E32" s="81"/>
      <c r="F32" s="81"/>
      <c r="G32" s="81"/>
      <c r="H32" s="81"/>
      <c r="I32" s="78" t="s">
        <v>81</v>
      </c>
      <c r="J32" s="79"/>
      <c r="K32" s="80"/>
      <c r="L32" s="70"/>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4"/>
      <c r="VM32" s="4"/>
      <c r="VN32" s="4"/>
      <c r="VO32" s="4"/>
      <c r="VP32" s="4"/>
      <c r="VQ32" s="4"/>
      <c r="VR32" s="4"/>
      <c r="VS32" s="4"/>
      <c r="VT32" s="4"/>
      <c r="VU32" s="4"/>
      <c r="VV32" s="4"/>
      <c r="VW32" s="4"/>
      <c r="VX32" s="4"/>
      <c r="VY32" s="4"/>
      <c r="VZ32" s="4"/>
      <c r="WA32" s="4"/>
      <c r="WB32" s="4"/>
      <c r="WC32" s="4"/>
      <c r="WD32" s="4"/>
      <c r="WE32" s="4"/>
      <c r="WF32" s="4"/>
      <c r="WG32" s="4"/>
      <c r="WH32" s="4"/>
      <c r="WI32" s="4"/>
      <c r="WJ32" s="4"/>
      <c r="WK32" s="4"/>
      <c r="WL32" s="4"/>
      <c r="WM32" s="4"/>
      <c r="WN32" s="4"/>
      <c r="WO32" s="4"/>
      <c r="WP32" s="4"/>
      <c r="WQ32" s="4"/>
      <c r="WR32" s="4"/>
      <c r="WS32" s="4"/>
      <c r="WT32" s="4"/>
      <c r="WU32" s="4"/>
      <c r="WV32" s="4"/>
      <c r="WW32" s="4"/>
      <c r="WX32" s="4"/>
      <c r="WY32" s="4"/>
      <c r="WZ32" s="4"/>
      <c r="XA32" s="4"/>
      <c r="XB32" s="4"/>
      <c r="XC32" s="4"/>
      <c r="XD32" s="4"/>
      <c r="XE32" s="4"/>
      <c r="XF32" s="4"/>
      <c r="XG32" s="4"/>
      <c r="XH32" s="4"/>
      <c r="XI32" s="4"/>
      <c r="XJ32" s="4"/>
      <c r="XK32" s="4"/>
      <c r="XL32" s="4"/>
      <c r="XM32" s="4"/>
      <c r="XN32" s="4"/>
      <c r="XO32" s="4"/>
      <c r="XP32" s="4"/>
      <c r="XQ32" s="4"/>
      <c r="XR32" s="4"/>
      <c r="XS32" s="4"/>
      <c r="XT32" s="4"/>
      <c r="XU32" s="4"/>
      <c r="XV32" s="4"/>
      <c r="XW32" s="4"/>
      <c r="XX32" s="4"/>
      <c r="XY32" s="4"/>
      <c r="XZ32" s="4"/>
      <c r="YA32" s="4"/>
      <c r="YB32" s="4"/>
      <c r="YC32" s="4"/>
      <c r="YD32" s="4"/>
      <c r="YE32" s="4"/>
      <c r="YF32" s="4"/>
      <c r="YG32" s="4"/>
      <c r="YH32" s="4"/>
      <c r="YI32" s="4"/>
      <c r="YJ32" s="4"/>
      <c r="YK32" s="4"/>
      <c r="YL32" s="4"/>
      <c r="YM32" s="4"/>
      <c r="YN32" s="4"/>
      <c r="YO32" s="4"/>
      <c r="YP32" s="4"/>
      <c r="YQ32" s="4"/>
      <c r="YR32" s="4"/>
      <c r="YS32" s="4"/>
      <c r="YT32" s="4"/>
      <c r="YU32" s="4"/>
      <c r="YV32" s="4"/>
      <c r="YW32" s="4"/>
      <c r="YX32" s="4"/>
      <c r="YY32" s="4"/>
      <c r="YZ32" s="4"/>
      <c r="ZA32" s="4"/>
      <c r="ZB32" s="4"/>
      <c r="ZC32" s="4"/>
      <c r="ZD32" s="4"/>
      <c r="ZE32" s="4"/>
      <c r="ZF32" s="4"/>
      <c r="ZG32" s="4"/>
      <c r="ZH32" s="4"/>
      <c r="ZI32" s="4"/>
      <c r="ZJ32" s="4"/>
      <c r="ZK32" s="4"/>
      <c r="ZL32" s="4"/>
      <c r="ZM32" s="4"/>
      <c r="ZN32" s="4"/>
      <c r="ZO32" s="4"/>
      <c r="ZP32" s="4"/>
      <c r="ZQ32" s="4"/>
      <c r="ZR32" s="4"/>
      <c r="ZS32" s="4"/>
      <c r="ZT32" s="4"/>
      <c r="ZU32" s="4"/>
      <c r="ZV32" s="4"/>
      <c r="ZW32" s="4"/>
      <c r="ZX32" s="4"/>
      <c r="ZY32" s="4"/>
      <c r="ZZ32" s="4"/>
      <c r="AAA32" s="4"/>
      <c r="AAB32" s="4"/>
      <c r="AAC32" s="4"/>
      <c r="AAD32" s="4"/>
      <c r="AAE32" s="4"/>
      <c r="AAF32" s="4"/>
      <c r="AAG32" s="4"/>
      <c r="AAH32" s="4"/>
      <c r="AAI32" s="4"/>
      <c r="AAJ32" s="4"/>
      <c r="AAK32" s="4"/>
      <c r="AAL32" s="4"/>
      <c r="AAM32" s="4"/>
      <c r="AAN32" s="4"/>
      <c r="AAO32" s="4"/>
      <c r="AAP32" s="4"/>
      <c r="AAQ32" s="4"/>
      <c r="AAR32" s="4"/>
      <c r="AAS32" s="4"/>
      <c r="AAT32" s="4"/>
      <c r="AAU32" s="4"/>
      <c r="AAV32" s="4"/>
      <c r="AAW32" s="4"/>
      <c r="AAX32" s="4"/>
      <c r="AAY32" s="4"/>
      <c r="AAZ32" s="4"/>
      <c r="ABA32" s="4"/>
      <c r="ABB32" s="4"/>
      <c r="ABC32" s="4"/>
      <c r="ABD32" s="4"/>
      <c r="ABE32" s="4"/>
      <c r="ABF32" s="4"/>
      <c r="ABG32" s="4"/>
      <c r="ABH32" s="4"/>
      <c r="ABI32" s="4"/>
      <c r="ABJ32" s="4"/>
      <c r="ABK32" s="4"/>
      <c r="ABL32" s="4"/>
      <c r="ABM32" s="4"/>
      <c r="ABN32" s="4"/>
      <c r="ABO32" s="4"/>
      <c r="ABP32" s="4"/>
      <c r="ABQ32" s="4"/>
      <c r="ABR32" s="4"/>
      <c r="ABS32" s="4"/>
      <c r="ABT32" s="4"/>
      <c r="ABU32" s="4"/>
      <c r="ABV32" s="4"/>
      <c r="ABW32" s="4"/>
      <c r="ABX32" s="4"/>
      <c r="ABY32" s="4"/>
      <c r="ABZ32" s="4"/>
      <c r="ACA32" s="4"/>
      <c r="ACB32" s="4"/>
      <c r="ACC32" s="4"/>
      <c r="ACD32" s="4"/>
      <c r="ACE32" s="4"/>
      <c r="ACF32" s="4"/>
      <c r="ACG32" s="4"/>
      <c r="ACH32" s="4"/>
      <c r="ACI32" s="4"/>
      <c r="ACJ32" s="4"/>
      <c r="ACK32" s="4"/>
      <c r="ACL32" s="4"/>
      <c r="ACM32" s="4"/>
      <c r="ACN32" s="4"/>
      <c r="ACO32" s="4"/>
      <c r="ACP32" s="4"/>
      <c r="ACQ32" s="4"/>
      <c r="ACR32" s="4"/>
      <c r="ACS32" s="4"/>
      <c r="ACT32" s="4"/>
      <c r="ACU32" s="4"/>
      <c r="ACV32" s="4"/>
      <c r="ACW32" s="4"/>
      <c r="ACX32" s="4"/>
      <c r="ACY32" s="4"/>
      <c r="ACZ32" s="4"/>
      <c r="ADA32" s="4"/>
      <c r="ADB32" s="4"/>
      <c r="ADC32" s="4"/>
      <c r="ADD32" s="4"/>
      <c r="ADE32" s="4"/>
      <c r="ADF32" s="4"/>
      <c r="ADG32" s="4"/>
      <c r="ADH32" s="4"/>
      <c r="ADI32" s="4"/>
      <c r="ADJ32" s="4"/>
      <c r="ADK32" s="4"/>
      <c r="ADL32" s="4"/>
      <c r="ADM32" s="4"/>
      <c r="ADN32" s="4"/>
      <c r="ADO32" s="4"/>
      <c r="ADP32" s="4"/>
      <c r="ADQ32" s="4"/>
      <c r="ADR32" s="4"/>
      <c r="ADS32" s="4"/>
      <c r="ADT32" s="4"/>
      <c r="ADU32" s="4"/>
      <c r="ADV32" s="4"/>
      <c r="ADW32" s="4"/>
      <c r="ADX32" s="4"/>
      <c r="ADY32" s="4"/>
      <c r="ADZ32" s="4"/>
      <c r="AEA32" s="4"/>
      <c r="AEB32" s="4"/>
      <c r="AEC32" s="4"/>
      <c r="AED32" s="4"/>
      <c r="AEE32" s="4"/>
      <c r="AEF32" s="4"/>
      <c r="AEG32" s="4"/>
      <c r="AEH32" s="4"/>
      <c r="AEI32" s="4"/>
      <c r="AEJ32" s="4"/>
      <c r="AEK32" s="4"/>
      <c r="AEL32" s="4"/>
      <c r="AEM32" s="4"/>
      <c r="AEN32" s="4"/>
      <c r="AEO32" s="4"/>
      <c r="AEP32" s="4"/>
      <c r="AEQ32" s="4"/>
      <c r="AER32" s="4"/>
      <c r="AES32" s="4"/>
      <c r="AET32" s="4"/>
      <c r="AEU32" s="4"/>
      <c r="AEV32" s="4"/>
      <c r="AEW32" s="4"/>
      <c r="AEX32" s="4"/>
      <c r="AEY32" s="4"/>
      <c r="AEZ32" s="4"/>
      <c r="AFA32" s="4"/>
      <c r="AFB32" s="4"/>
      <c r="AFC32" s="4"/>
      <c r="AFD32" s="4"/>
      <c r="AFE32" s="4"/>
      <c r="AFF32" s="4"/>
      <c r="AFG32" s="4"/>
      <c r="AFH32" s="4"/>
      <c r="AFI32" s="4"/>
      <c r="AFJ32" s="4"/>
      <c r="AFK32" s="4"/>
      <c r="AFL32" s="4"/>
      <c r="AFM32" s="4"/>
      <c r="AFN32" s="4"/>
      <c r="AFO32" s="4"/>
      <c r="AFP32" s="4"/>
      <c r="AFQ32" s="4"/>
      <c r="AFR32" s="4"/>
      <c r="AFS32" s="4"/>
      <c r="AFT32" s="4"/>
      <c r="AFU32" s="4"/>
      <c r="AFV32" s="4"/>
      <c r="AFW32" s="4"/>
      <c r="AFX32" s="4"/>
      <c r="AFY32" s="4"/>
      <c r="AFZ32" s="4"/>
      <c r="AGA32" s="4"/>
      <c r="AGB32" s="4"/>
      <c r="AGC32" s="4"/>
      <c r="AGD32" s="4"/>
      <c r="AGE32" s="4"/>
      <c r="AGF32" s="4"/>
      <c r="AGG32" s="4"/>
      <c r="AGH32" s="4"/>
      <c r="AGI32" s="4"/>
      <c r="AGJ32" s="4"/>
      <c r="AGK32" s="4"/>
      <c r="AGL32" s="4"/>
      <c r="AGM32" s="4"/>
      <c r="AGN32" s="4"/>
      <c r="AGO32" s="4"/>
      <c r="AGP32" s="4"/>
      <c r="AGQ32" s="4"/>
      <c r="AGR32" s="4"/>
      <c r="AGS32" s="4"/>
      <c r="AGT32" s="4"/>
      <c r="AGU32" s="4"/>
      <c r="AGV32" s="4"/>
      <c r="AGW32" s="4"/>
      <c r="AGX32" s="4"/>
      <c r="AGY32" s="4"/>
      <c r="AGZ32" s="4"/>
      <c r="AHA32" s="4"/>
      <c r="AHB32" s="4"/>
      <c r="AHC32" s="4"/>
      <c r="AHD32" s="4"/>
      <c r="AHE32" s="4"/>
      <c r="AHF32" s="4"/>
      <c r="AHG32" s="4"/>
      <c r="AHH32" s="4"/>
      <c r="AHI32" s="4"/>
      <c r="AHJ32" s="4"/>
      <c r="AHK32" s="4"/>
      <c r="AHL32" s="4"/>
      <c r="AHM32" s="4"/>
      <c r="AHN32" s="4"/>
      <c r="AHO32" s="4"/>
      <c r="AHP32" s="4"/>
      <c r="AHQ32" s="4"/>
      <c r="AHR32" s="4"/>
      <c r="AHS32" s="4"/>
      <c r="AHT32" s="4"/>
      <c r="AHU32" s="4"/>
      <c r="AHV32" s="4"/>
      <c r="AHW32" s="4"/>
      <c r="AHX32" s="4"/>
      <c r="AHY32" s="4"/>
      <c r="AHZ32" s="4"/>
      <c r="AIA32" s="4"/>
      <c r="AIB32" s="4"/>
      <c r="AIC32" s="4"/>
      <c r="AID32" s="4"/>
      <c r="AIE32" s="4"/>
      <c r="AIF32" s="4"/>
      <c r="AIG32" s="4"/>
      <c r="AIH32" s="4"/>
      <c r="AII32" s="4"/>
      <c r="AIJ32" s="4"/>
      <c r="AIK32" s="4"/>
      <c r="AIL32" s="4"/>
      <c r="AIM32" s="4"/>
      <c r="AIN32" s="4"/>
      <c r="AIO32" s="4"/>
      <c r="AIP32" s="4"/>
      <c r="AIQ32" s="4"/>
      <c r="AIR32" s="4"/>
      <c r="AIS32" s="4"/>
      <c r="AIT32" s="4"/>
      <c r="AIU32" s="4"/>
      <c r="AIV32" s="4"/>
      <c r="AIW32" s="4"/>
      <c r="AIX32" s="4"/>
      <c r="AIY32" s="4"/>
      <c r="AIZ32" s="4"/>
      <c r="AJA32" s="4"/>
      <c r="AJB32" s="4"/>
      <c r="AJC32" s="4"/>
      <c r="AJD32" s="4"/>
      <c r="AJE32" s="4"/>
      <c r="AJF32" s="4"/>
      <c r="AJG32" s="4"/>
      <c r="AJH32" s="4"/>
      <c r="AJI32" s="4"/>
      <c r="AJJ32" s="4"/>
      <c r="AJK32" s="4"/>
      <c r="AJL32" s="4"/>
      <c r="AJM32" s="4"/>
      <c r="AJN32" s="4"/>
      <c r="AJO32" s="4"/>
      <c r="AJP32" s="4"/>
      <c r="AJQ32" s="4"/>
      <c r="AJR32" s="4"/>
      <c r="AJS32" s="4"/>
      <c r="AJT32" s="4"/>
      <c r="AJU32" s="4"/>
      <c r="AJV32" s="4"/>
      <c r="AJW32" s="4"/>
      <c r="AJX32" s="4"/>
      <c r="AJY32" s="4"/>
      <c r="AJZ32" s="4"/>
      <c r="AKA32" s="4"/>
      <c r="AKB32" s="4"/>
      <c r="AKC32" s="4"/>
      <c r="AKD32" s="4"/>
      <c r="AKE32" s="4"/>
      <c r="AKF32" s="4"/>
      <c r="AKG32" s="4"/>
      <c r="AKH32" s="4"/>
      <c r="AKI32" s="4"/>
      <c r="AKJ32" s="4"/>
      <c r="AKK32" s="4"/>
      <c r="AKL32" s="4"/>
      <c r="AKM32" s="4"/>
      <c r="AKN32" s="4"/>
      <c r="AKO32" s="4"/>
      <c r="AKP32" s="4"/>
      <c r="AKQ32" s="4"/>
      <c r="AKR32" s="4"/>
      <c r="AKS32" s="4"/>
      <c r="AKT32" s="4"/>
      <c r="AKU32" s="4"/>
      <c r="AKV32" s="4"/>
      <c r="AKW32" s="4"/>
      <c r="AKX32" s="4"/>
      <c r="AKY32" s="4"/>
      <c r="AKZ32" s="4"/>
      <c r="ALA32" s="4"/>
      <c r="ALB32" s="4"/>
      <c r="ALC32" s="4"/>
      <c r="ALD32" s="4"/>
      <c r="ALE32" s="4"/>
      <c r="ALF32" s="4"/>
      <c r="ALG32" s="4"/>
      <c r="ALH32" s="4"/>
      <c r="ALI32" s="4"/>
      <c r="ALJ32" s="4"/>
      <c r="ALK32" s="4"/>
      <c r="ALL32" s="4"/>
      <c r="ALM32" s="4"/>
      <c r="ALN32" s="4"/>
      <c r="ALO32" s="4"/>
      <c r="ALP32" s="4"/>
      <c r="ALQ32" s="4"/>
      <c r="ALR32" s="4"/>
      <c r="ALS32" s="4"/>
      <c r="ALT32" s="4"/>
      <c r="ALU32" s="4"/>
      <c r="ALV32" s="4"/>
      <c r="ALW32" s="4"/>
      <c r="ALX32" s="4"/>
      <c r="ALY32" s="4"/>
      <c r="ALZ32" s="4"/>
      <c r="AMA32" s="4"/>
      <c r="AMB32" s="4"/>
      <c r="AMC32" s="4"/>
      <c r="AMD32" s="4"/>
      <c r="AME32" s="4"/>
    </row>
    <row r="33" spans="1:1019" x14ac:dyDescent="0.25">
      <c r="A33" s="76" t="s">
        <v>15</v>
      </c>
      <c r="B33" s="77" t="s">
        <v>93</v>
      </c>
      <c r="C33" s="360">
        <v>0.05</v>
      </c>
      <c r="D33" s="81"/>
      <c r="E33" s="81"/>
      <c r="F33" s="81"/>
      <c r="G33" s="81"/>
      <c r="H33" s="81"/>
      <c r="I33" s="78" t="s">
        <v>82</v>
      </c>
      <c r="J33" s="79"/>
      <c r="K33" s="80"/>
      <c r="L33" s="70"/>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c r="UL33" s="4"/>
      <c r="UM33" s="4"/>
      <c r="UN33" s="4"/>
      <c r="UO33" s="4"/>
      <c r="UP33" s="4"/>
      <c r="UQ33" s="4"/>
      <c r="UR33" s="4"/>
      <c r="US33" s="4"/>
      <c r="UT33" s="4"/>
      <c r="UU33" s="4"/>
      <c r="UV33" s="4"/>
      <c r="UW33" s="4"/>
      <c r="UX33" s="4"/>
      <c r="UY33" s="4"/>
      <c r="UZ33" s="4"/>
      <c r="VA33" s="4"/>
      <c r="VB33" s="4"/>
      <c r="VC33" s="4"/>
      <c r="VD33" s="4"/>
      <c r="VE33" s="4"/>
      <c r="VF33" s="4"/>
      <c r="VG33" s="4"/>
      <c r="VH33" s="4"/>
      <c r="VI33" s="4"/>
      <c r="VJ33" s="4"/>
      <c r="VK33" s="4"/>
      <c r="VL33" s="4"/>
      <c r="VM33" s="4"/>
      <c r="VN33" s="4"/>
      <c r="VO33" s="4"/>
      <c r="VP33" s="4"/>
      <c r="VQ33" s="4"/>
      <c r="VR33" s="4"/>
      <c r="VS33" s="4"/>
      <c r="VT33" s="4"/>
      <c r="VU33" s="4"/>
      <c r="VV33" s="4"/>
      <c r="VW33" s="4"/>
      <c r="VX33" s="4"/>
      <c r="VY33" s="4"/>
      <c r="VZ33" s="4"/>
      <c r="WA33" s="4"/>
      <c r="WB33" s="4"/>
      <c r="WC33" s="4"/>
      <c r="WD33" s="4"/>
      <c r="WE33" s="4"/>
      <c r="WF33" s="4"/>
      <c r="WG33" s="4"/>
      <c r="WH33" s="4"/>
      <c r="WI33" s="4"/>
      <c r="WJ33" s="4"/>
      <c r="WK33" s="4"/>
      <c r="WL33" s="4"/>
      <c r="WM33" s="4"/>
      <c r="WN33" s="4"/>
      <c r="WO33" s="4"/>
      <c r="WP33" s="4"/>
      <c r="WQ33" s="4"/>
      <c r="WR33" s="4"/>
      <c r="WS33" s="4"/>
      <c r="WT33" s="4"/>
      <c r="WU33" s="4"/>
      <c r="WV33" s="4"/>
      <c r="WW33" s="4"/>
      <c r="WX33" s="4"/>
      <c r="WY33" s="4"/>
      <c r="WZ33" s="4"/>
      <c r="XA33" s="4"/>
      <c r="XB33" s="4"/>
      <c r="XC33" s="4"/>
      <c r="XD33" s="4"/>
      <c r="XE33" s="4"/>
      <c r="XF33" s="4"/>
      <c r="XG33" s="4"/>
      <c r="XH33" s="4"/>
      <c r="XI33" s="4"/>
      <c r="XJ33" s="4"/>
      <c r="XK33" s="4"/>
      <c r="XL33" s="4"/>
      <c r="XM33" s="4"/>
      <c r="XN33" s="4"/>
      <c r="XO33" s="4"/>
      <c r="XP33" s="4"/>
      <c r="XQ33" s="4"/>
      <c r="XR33" s="4"/>
      <c r="XS33" s="4"/>
      <c r="XT33" s="4"/>
      <c r="XU33" s="4"/>
      <c r="XV33" s="4"/>
      <c r="XW33" s="4"/>
      <c r="XX33" s="4"/>
      <c r="XY33" s="4"/>
      <c r="XZ33" s="4"/>
      <c r="YA33" s="4"/>
      <c r="YB33" s="4"/>
      <c r="YC33" s="4"/>
      <c r="YD33" s="4"/>
      <c r="YE33" s="4"/>
      <c r="YF33" s="4"/>
      <c r="YG33" s="4"/>
      <c r="YH33" s="4"/>
      <c r="YI33" s="4"/>
      <c r="YJ33" s="4"/>
      <c r="YK33" s="4"/>
      <c r="YL33" s="4"/>
      <c r="YM33" s="4"/>
      <c r="YN33" s="4"/>
      <c r="YO33" s="4"/>
      <c r="YP33" s="4"/>
      <c r="YQ33" s="4"/>
      <c r="YR33" s="4"/>
      <c r="YS33" s="4"/>
      <c r="YT33" s="4"/>
      <c r="YU33" s="4"/>
      <c r="YV33" s="4"/>
      <c r="YW33" s="4"/>
      <c r="YX33" s="4"/>
      <c r="YY33" s="4"/>
      <c r="YZ33" s="4"/>
      <c r="ZA33" s="4"/>
      <c r="ZB33" s="4"/>
      <c r="ZC33" s="4"/>
      <c r="ZD33" s="4"/>
      <c r="ZE33" s="4"/>
      <c r="ZF33" s="4"/>
      <c r="ZG33" s="4"/>
      <c r="ZH33" s="4"/>
      <c r="ZI33" s="4"/>
      <c r="ZJ33" s="4"/>
      <c r="ZK33" s="4"/>
      <c r="ZL33" s="4"/>
      <c r="ZM33" s="4"/>
      <c r="ZN33" s="4"/>
      <c r="ZO33" s="4"/>
      <c r="ZP33" s="4"/>
      <c r="ZQ33" s="4"/>
      <c r="ZR33" s="4"/>
      <c r="ZS33" s="4"/>
      <c r="ZT33" s="4"/>
      <c r="ZU33" s="4"/>
      <c r="ZV33" s="4"/>
      <c r="ZW33" s="4"/>
      <c r="ZX33" s="4"/>
      <c r="ZY33" s="4"/>
      <c r="ZZ33" s="4"/>
      <c r="AAA33" s="4"/>
      <c r="AAB33" s="4"/>
      <c r="AAC33" s="4"/>
      <c r="AAD33" s="4"/>
      <c r="AAE33" s="4"/>
      <c r="AAF33" s="4"/>
      <c r="AAG33" s="4"/>
      <c r="AAH33" s="4"/>
      <c r="AAI33" s="4"/>
      <c r="AAJ33" s="4"/>
      <c r="AAK33" s="4"/>
      <c r="AAL33" s="4"/>
      <c r="AAM33" s="4"/>
      <c r="AAN33" s="4"/>
      <c r="AAO33" s="4"/>
      <c r="AAP33" s="4"/>
      <c r="AAQ33" s="4"/>
      <c r="AAR33" s="4"/>
      <c r="AAS33" s="4"/>
      <c r="AAT33" s="4"/>
      <c r="AAU33" s="4"/>
      <c r="AAV33" s="4"/>
      <c r="AAW33" s="4"/>
      <c r="AAX33" s="4"/>
      <c r="AAY33" s="4"/>
      <c r="AAZ33" s="4"/>
      <c r="ABA33" s="4"/>
      <c r="ABB33" s="4"/>
      <c r="ABC33" s="4"/>
      <c r="ABD33" s="4"/>
      <c r="ABE33" s="4"/>
      <c r="ABF33" s="4"/>
      <c r="ABG33" s="4"/>
      <c r="ABH33" s="4"/>
      <c r="ABI33" s="4"/>
      <c r="ABJ33" s="4"/>
      <c r="ABK33" s="4"/>
      <c r="ABL33" s="4"/>
      <c r="ABM33" s="4"/>
      <c r="ABN33" s="4"/>
      <c r="ABO33" s="4"/>
      <c r="ABP33" s="4"/>
      <c r="ABQ33" s="4"/>
      <c r="ABR33" s="4"/>
      <c r="ABS33" s="4"/>
      <c r="ABT33" s="4"/>
      <c r="ABU33" s="4"/>
      <c r="ABV33" s="4"/>
      <c r="ABW33" s="4"/>
      <c r="ABX33" s="4"/>
      <c r="ABY33" s="4"/>
      <c r="ABZ33" s="4"/>
      <c r="ACA33" s="4"/>
      <c r="ACB33" s="4"/>
      <c r="ACC33" s="4"/>
      <c r="ACD33" s="4"/>
      <c r="ACE33" s="4"/>
      <c r="ACF33" s="4"/>
      <c r="ACG33" s="4"/>
      <c r="ACH33" s="4"/>
      <c r="ACI33" s="4"/>
      <c r="ACJ33" s="4"/>
      <c r="ACK33" s="4"/>
      <c r="ACL33" s="4"/>
      <c r="ACM33" s="4"/>
      <c r="ACN33" s="4"/>
      <c r="ACO33" s="4"/>
      <c r="ACP33" s="4"/>
      <c r="ACQ33" s="4"/>
      <c r="ACR33" s="4"/>
      <c r="ACS33" s="4"/>
      <c r="ACT33" s="4"/>
      <c r="ACU33" s="4"/>
      <c r="ACV33" s="4"/>
      <c r="ACW33" s="4"/>
      <c r="ACX33" s="4"/>
      <c r="ACY33" s="4"/>
      <c r="ACZ33" s="4"/>
      <c r="ADA33" s="4"/>
      <c r="ADB33" s="4"/>
      <c r="ADC33" s="4"/>
      <c r="ADD33" s="4"/>
      <c r="ADE33" s="4"/>
      <c r="ADF33" s="4"/>
      <c r="ADG33" s="4"/>
      <c r="ADH33" s="4"/>
      <c r="ADI33" s="4"/>
      <c r="ADJ33" s="4"/>
      <c r="ADK33" s="4"/>
      <c r="ADL33" s="4"/>
      <c r="ADM33" s="4"/>
      <c r="ADN33" s="4"/>
      <c r="ADO33" s="4"/>
      <c r="ADP33" s="4"/>
      <c r="ADQ33" s="4"/>
      <c r="ADR33" s="4"/>
      <c r="ADS33" s="4"/>
      <c r="ADT33" s="4"/>
      <c r="ADU33" s="4"/>
      <c r="ADV33" s="4"/>
      <c r="ADW33" s="4"/>
      <c r="ADX33" s="4"/>
      <c r="ADY33" s="4"/>
      <c r="ADZ33" s="4"/>
      <c r="AEA33" s="4"/>
      <c r="AEB33" s="4"/>
      <c r="AEC33" s="4"/>
      <c r="AED33" s="4"/>
      <c r="AEE33" s="4"/>
      <c r="AEF33" s="4"/>
      <c r="AEG33" s="4"/>
      <c r="AEH33" s="4"/>
      <c r="AEI33" s="4"/>
      <c r="AEJ33" s="4"/>
      <c r="AEK33" s="4"/>
      <c r="AEL33" s="4"/>
      <c r="AEM33" s="4"/>
      <c r="AEN33" s="4"/>
      <c r="AEO33" s="4"/>
      <c r="AEP33" s="4"/>
      <c r="AEQ33" s="4"/>
      <c r="AER33" s="4"/>
      <c r="AES33" s="4"/>
      <c r="AET33" s="4"/>
      <c r="AEU33" s="4"/>
      <c r="AEV33" s="4"/>
      <c r="AEW33" s="4"/>
      <c r="AEX33" s="4"/>
      <c r="AEY33" s="4"/>
      <c r="AEZ33" s="4"/>
      <c r="AFA33" s="4"/>
      <c r="AFB33" s="4"/>
      <c r="AFC33" s="4"/>
      <c r="AFD33" s="4"/>
      <c r="AFE33" s="4"/>
      <c r="AFF33" s="4"/>
      <c r="AFG33" s="4"/>
      <c r="AFH33" s="4"/>
      <c r="AFI33" s="4"/>
      <c r="AFJ33" s="4"/>
      <c r="AFK33" s="4"/>
      <c r="AFL33" s="4"/>
      <c r="AFM33" s="4"/>
      <c r="AFN33" s="4"/>
      <c r="AFO33" s="4"/>
      <c r="AFP33" s="4"/>
      <c r="AFQ33" s="4"/>
      <c r="AFR33" s="4"/>
      <c r="AFS33" s="4"/>
      <c r="AFT33" s="4"/>
      <c r="AFU33" s="4"/>
      <c r="AFV33" s="4"/>
      <c r="AFW33" s="4"/>
      <c r="AFX33" s="4"/>
      <c r="AFY33" s="4"/>
      <c r="AFZ33" s="4"/>
      <c r="AGA33" s="4"/>
      <c r="AGB33" s="4"/>
      <c r="AGC33" s="4"/>
      <c r="AGD33" s="4"/>
      <c r="AGE33" s="4"/>
      <c r="AGF33" s="4"/>
      <c r="AGG33" s="4"/>
      <c r="AGH33" s="4"/>
      <c r="AGI33" s="4"/>
      <c r="AGJ33" s="4"/>
      <c r="AGK33" s="4"/>
      <c r="AGL33" s="4"/>
      <c r="AGM33" s="4"/>
      <c r="AGN33" s="4"/>
      <c r="AGO33" s="4"/>
      <c r="AGP33" s="4"/>
      <c r="AGQ33" s="4"/>
      <c r="AGR33" s="4"/>
      <c r="AGS33" s="4"/>
      <c r="AGT33" s="4"/>
      <c r="AGU33" s="4"/>
      <c r="AGV33" s="4"/>
      <c r="AGW33" s="4"/>
      <c r="AGX33" s="4"/>
      <c r="AGY33" s="4"/>
      <c r="AGZ33" s="4"/>
      <c r="AHA33" s="4"/>
      <c r="AHB33" s="4"/>
      <c r="AHC33" s="4"/>
      <c r="AHD33" s="4"/>
      <c r="AHE33" s="4"/>
      <c r="AHF33" s="4"/>
      <c r="AHG33" s="4"/>
      <c r="AHH33" s="4"/>
      <c r="AHI33" s="4"/>
      <c r="AHJ33" s="4"/>
      <c r="AHK33" s="4"/>
      <c r="AHL33" s="4"/>
      <c r="AHM33" s="4"/>
      <c r="AHN33" s="4"/>
      <c r="AHO33" s="4"/>
      <c r="AHP33" s="4"/>
      <c r="AHQ33" s="4"/>
      <c r="AHR33" s="4"/>
      <c r="AHS33" s="4"/>
      <c r="AHT33" s="4"/>
      <c r="AHU33" s="4"/>
      <c r="AHV33" s="4"/>
      <c r="AHW33" s="4"/>
      <c r="AHX33" s="4"/>
      <c r="AHY33" s="4"/>
      <c r="AHZ33" s="4"/>
      <c r="AIA33" s="4"/>
      <c r="AIB33" s="4"/>
      <c r="AIC33" s="4"/>
      <c r="AID33" s="4"/>
      <c r="AIE33" s="4"/>
      <c r="AIF33" s="4"/>
      <c r="AIG33" s="4"/>
      <c r="AIH33" s="4"/>
      <c r="AII33" s="4"/>
      <c r="AIJ33" s="4"/>
      <c r="AIK33" s="4"/>
      <c r="AIL33" s="4"/>
      <c r="AIM33" s="4"/>
      <c r="AIN33" s="4"/>
      <c r="AIO33" s="4"/>
      <c r="AIP33" s="4"/>
      <c r="AIQ33" s="4"/>
      <c r="AIR33" s="4"/>
      <c r="AIS33" s="4"/>
      <c r="AIT33" s="4"/>
      <c r="AIU33" s="4"/>
      <c r="AIV33" s="4"/>
      <c r="AIW33" s="4"/>
      <c r="AIX33" s="4"/>
      <c r="AIY33" s="4"/>
      <c r="AIZ33" s="4"/>
      <c r="AJA33" s="4"/>
      <c r="AJB33" s="4"/>
      <c r="AJC33" s="4"/>
      <c r="AJD33" s="4"/>
      <c r="AJE33" s="4"/>
      <c r="AJF33" s="4"/>
      <c r="AJG33" s="4"/>
      <c r="AJH33" s="4"/>
      <c r="AJI33" s="4"/>
      <c r="AJJ33" s="4"/>
      <c r="AJK33" s="4"/>
      <c r="AJL33" s="4"/>
      <c r="AJM33" s="4"/>
      <c r="AJN33" s="4"/>
      <c r="AJO33" s="4"/>
      <c r="AJP33" s="4"/>
      <c r="AJQ33" s="4"/>
      <c r="AJR33" s="4"/>
      <c r="AJS33" s="4"/>
      <c r="AJT33" s="4"/>
      <c r="AJU33" s="4"/>
      <c r="AJV33" s="4"/>
      <c r="AJW33" s="4"/>
      <c r="AJX33" s="4"/>
      <c r="AJY33" s="4"/>
      <c r="AJZ33" s="4"/>
      <c r="AKA33" s="4"/>
      <c r="AKB33" s="4"/>
      <c r="AKC33" s="4"/>
      <c r="AKD33" s="4"/>
      <c r="AKE33" s="4"/>
      <c r="AKF33" s="4"/>
      <c r="AKG33" s="4"/>
      <c r="AKH33" s="4"/>
      <c r="AKI33" s="4"/>
      <c r="AKJ33" s="4"/>
      <c r="AKK33" s="4"/>
      <c r="AKL33" s="4"/>
      <c r="AKM33" s="4"/>
      <c r="AKN33" s="4"/>
      <c r="AKO33" s="4"/>
      <c r="AKP33" s="4"/>
      <c r="AKQ33" s="4"/>
      <c r="AKR33" s="4"/>
      <c r="AKS33" s="4"/>
      <c r="AKT33" s="4"/>
      <c r="AKU33" s="4"/>
      <c r="AKV33" s="4"/>
      <c r="AKW33" s="4"/>
      <c r="AKX33" s="4"/>
      <c r="AKY33" s="4"/>
      <c r="AKZ33" s="4"/>
      <c r="ALA33" s="4"/>
      <c r="ALB33" s="4"/>
      <c r="ALC33" s="4"/>
      <c r="ALD33" s="4"/>
      <c r="ALE33" s="4"/>
      <c r="ALF33" s="4"/>
      <c r="ALG33" s="4"/>
      <c r="ALH33" s="4"/>
      <c r="ALI33" s="4"/>
      <c r="ALJ33" s="4"/>
      <c r="ALK33" s="4"/>
      <c r="ALL33" s="4"/>
      <c r="ALM33" s="4"/>
      <c r="ALN33" s="4"/>
      <c r="ALO33" s="4"/>
      <c r="ALP33" s="4"/>
      <c r="ALQ33" s="4"/>
      <c r="ALR33" s="4"/>
      <c r="ALS33" s="4"/>
      <c r="ALT33" s="4"/>
      <c r="ALU33" s="4"/>
      <c r="ALV33" s="4"/>
      <c r="ALW33" s="4"/>
      <c r="ALX33" s="4"/>
      <c r="ALY33" s="4"/>
      <c r="ALZ33" s="4"/>
      <c r="AMA33" s="4"/>
      <c r="AMB33" s="4"/>
      <c r="AMC33" s="4"/>
      <c r="AMD33" s="4"/>
      <c r="AME33" s="4"/>
    </row>
    <row r="34" spans="1:1019" ht="15" customHeight="1" x14ac:dyDescent="0.25">
      <c r="A34" s="76" t="s">
        <v>725</v>
      </c>
      <c r="B34" s="77" t="s">
        <v>93</v>
      </c>
      <c r="C34" s="360">
        <f>1/18.2</f>
        <v>5.4945054945054944E-2</v>
      </c>
      <c r="D34" s="81"/>
      <c r="E34" s="81"/>
      <c r="F34" s="81"/>
      <c r="G34" s="81"/>
      <c r="H34" s="72"/>
      <c r="I34" s="78" t="s">
        <v>83</v>
      </c>
      <c r="J34" s="79"/>
      <c r="K34" s="80"/>
      <c r="L34" s="70"/>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row>
    <row r="35" spans="1:1019" ht="15" customHeight="1" x14ac:dyDescent="0.25">
      <c r="A35" s="76" t="s">
        <v>724</v>
      </c>
      <c r="B35" s="77" t="s">
        <v>93</v>
      </c>
      <c r="C35" s="361">
        <f>1/18.8</f>
        <v>5.3191489361702128E-2</v>
      </c>
      <c r="D35" s="81" t="s">
        <v>283</v>
      </c>
      <c r="E35" s="81"/>
      <c r="F35" s="81"/>
      <c r="G35" s="81"/>
      <c r="H35" s="72"/>
      <c r="I35" s="78" t="s">
        <v>84</v>
      </c>
      <c r="J35" s="79"/>
      <c r="K35" s="80"/>
      <c r="L35" s="70"/>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4"/>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c r="ZC35" s="4"/>
      <c r="ZD35" s="4"/>
      <c r="ZE35" s="4"/>
      <c r="ZF35" s="4"/>
      <c r="ZG35" s="4"/>
      <c r="ZH35" s="4"/>
      <c r="ZI35" s="4"/>
      <c r="ZJ35" s="4"/>
      <c r="ZK35" s="4"/>
      <c r="ZL35" s="4"/>
      <c r="ZM35" s="4"/>
      <c r="ZN35" s="4"/>
      <c r="ZO35" s="4"/>
      <c r="ZP35" s="4"/>
      <c r="ZQ35" s="4"/>
      <c r="ZR35" s="4"/>
      <c r="ZS35" s="4"/>
      <c r="ZT35" s="4"/>
      <c r="ZU35" s="4"/>
      <c r="ZV35" s="4"/>
      <c r="ZW35" s="4"/>
      <c r="ZX35" s="4"/>
      <c r="ZY35" s="4"/>
      <c r="ZZ35" s="4"/>
      <c r="AAA35" s="4"/>
      <c r="AAB35" s="4"/>
      <c r="AAC35" s="4"/>
      <c r="AAD35" s="4"/>
      <c r="AAE35" s="4"/>
      <c r="AAF35" s="4"/>
      <c r="AAG35" s="4"/>
      <c r="AAH35" s="4"/>
      <c r="AAI35" s="4"/>
      <c r="AAJ35" s="4"/>
      <c r="AAK35" s="4"/>
      <c r="AAL35" s="4"/>
      <c r="AAM35" s="4"/>
      <c r="AAN35" s="4"/>
      <c r="AAO35" s="4"/>
      <c r="AAP35" s="4"/>
      <c r="AAQ35" s="4"/>
      <c r="AAR35" s="4"/>
      <c r="AAS35" s="4"/>
      <c r="AAT35" s="4"/>
      <c r="AAU35" s="4"/>
      <c r="AAV35" s="4"/>
      <c r="AAW35" s="4"/>
      <c r="AAX35" s="4"/>
      <c r="AAY35" s="4"/>
      <c r="AAZ35" s="4"/>
      <c r="ABA35" s="4"/>
      <c r="ABB35" s="4"/>
      <c r="ABC35" s="4"/>
      <c r="ABD35" s="4"/>
      <c r="ABE35" s="4"/>
      <c r="ABF35" s="4"/>
      <c r="ABG35" s="4"/>
      <c r="ABH35" s="4"/>
      <c r="ABI35" s="4"/>
      <c r="ABJ35" s="4"/>
      <c r="ABK35" s="4"/>
      <c r="ABL35" s="4"/>
      <c r="ABM35" s="4"/>
      <c r="ABN35" s="4"/>
      <c r="ABO35" s="4"/>
      <c r="ABP35" s="4"/>
      <c r="ABQ35" s="4"/>
      <c r="ABR35" s="4"/>
      <c r="ABS35" s="4"/>
      <c r="ABT35" s="4"/>
      <c r="ABU35" s="4"/>
      <c r="ABV35" s="4"/>
      <c r="ABW35" s="4"/>
      <c r="ABX35" s="4"/>
      <c r="ABY35" s="4"/>
      <c r="ABZ35" s="4"/>
      <c r="ACA35" s="4"/>
      <c r="ACB35" s="4"/>
      <c r="ACC35" s="4"/>
      <c r="ACD35" s="4"/>
      <c r="ACE35" s="4"/>
      <c r="ACF35" s="4"/>
      <c r="ACG35" s="4"/>
      <c r="ACH35" s="4"/>
      <c r="ACI35" s="4"/>
      <c r="ACJ35" s="4"/>
      <c r="ACK35" s="4"/>
      <c r="ACL35" s="4"/>
      <c r="ACM35" s="4"/>
      <c r="ACN35" s="4"/>
      <c r="ACO35" s="4"/>
      <c r="ACP35" s="4"/>
      <c r="ACQ35" s="4"/>
      <c r="ACR35" s="4"/>
      <c r="ACS35" s="4"/>
      <c r="ACT35" s="4"/>
      <c r="ACU35" s="4"/>
      <c r="ACV35" s="4"/>
      <c r="ACW35" s="4"/>
      <c r="ACX35" s="4"/>
      <c r="ACY35" s="4"/>
      <c r="ACZ35" s="4"/>
      <c r="ADA35" s="4"/>
      <c r="ADB35" s="4"/>
      <c r="ADC35" s="4"/>
      <c r="ADD35" s="4"/>
      <c r="ADE35" s="4"/>
      <c r="ADF35" s="4"/>
      <c r="ADG35" s="4"/>
      <c r="ADH35" s="4"/>
      <c r="ADI35" s="4"/>
      <c r="ADJ35" s="4"/>
      <c r="ADK35" s="4"/>
      <c r="ADL35" s="4"/>
      <c r="ADM35" s="4"/>
      <c r="ADN35" s="4"/>
      <c r="ADO35" s="4"/>
      <c r="ADP35" s="4"/>
      <c r="ADQ35" s="4"/>
      <c r="ADR35" s="4"/>
      <c r="ADS35" s="4"/>
      <c r="ADT35" s="4"/>
      <c r="ADU35" s="4"/>
      <c r="ADV35" s="4"/>
      <c r="ADW35" s="4"/>
      <c r="ADX35" s="4"/>
      <c r="ADY35" s="4"/>
      <c r="ADZ35" s="4"/>
      <c r="AEA35" s="4"/>
      <c r="AEB35" s="4"/>
      <c r="AEC35" s="4"/>
      <c r="AED35" s="4"/>
      <c r="AEE35" s="4"/>
      <c r="AEF35" s="4"/>
      <c r="AEG35" s="4"/>
      <c r="AEH35" s="4"/>
      <c r="AEI35" s="4"/>
      <c r="AEJ35" s="4"/>
      <c r="AEK35" s="4"/>
      <c r="AEL35" s="4"/>
      <c r="AEM35" s="4"/>
      <c r="AEN35" s="4"/>
      <c r="AEO35" s="4"/>
      <c r="AEP35" s="4"/>
      <c r="AEQ35" s="4"/>
      <c r="AER35" s="4"/>
      <c r="AES35" s="4"/>
      <c r="AET35" s="4"/>
      <c r="AEU35" s="4"/>
      <c r="AEV35" s="4"/>
      <c r="AEW35" s="4"/>
      <c r="AEX35" s="4"/>
      <c r="AEY35" s="4"/>
      <c r="AEZ35" s="4"/>
      <c r="AFA35" s="4"/>
      <c r="AFB35" s="4"/>
      <c r="AFC35" s="4"/>
      <c r="AFD35" s="4"/>
      <c r="AFE35" s="4"/>
      <c r="AFF35" s="4"/>
      <c r="AFG35" s="4"/>
      <c r="AFH35" s="4"/>
      <c r="AFI35" s="4"/>
      <c r="AFJ35" s="4"/>
      <c r="AFK35" s="4"/>
      <c r="AFL35" s="4"/>
      <c r="AFM35" s="4"/>
      <c r="AFN35" s="4"/>
      <c r="AFO35" s="4"/>
      <c r="AFP35" s="4"/>
      <c r="AFQ35" s="4"/>
      <c r="AFR35" s="4"/>
      <c r="AFS35" s="4"/>
      <c r="AFT35" s="4"/>
      <c r="AFU35" s="4"/>
      <c r="AFV35" s="4"/>
      <c r="AFW35" s="4"/>
      <c r="AFX35" s="4"/>
      <c r="AFY35" s="4"/>
      <c r="AFZ35" s="4"/>
      <c r="AGA35" s="4"/>
      <c r="AGB35" s="4"/>
      <c r="AGC35" s="4"/>
      <c r="AGD35" s="4"/>
      <c r="AGE35" s="4"/>
      <c r="AGF35" s="4"/>
      <c r="AGG35" s="4"/>
      <c r="AGH35" s="4"/>
      <c r="AGI35" s="4"/>
      <c r="AGJ35" s="4"/>
      <c r="AGK35" s="4"/>
      <c r="AGL35" s="4"/>
      <c r="AGM35" s="4"/>
      <c r="AGN35" s="4"/>
      <c r="AGO35" s="4"/>
      <c r="AGP35" s="4"/>
      <c r="AGQ35" s="4"/>
      <c r="AGR35" s="4"/>
      <c r="AGS35" s="4"/>
      <c r="AGT35" s="4"/>
      <c r="AGU35" s="4"/>
      <c r="AGV35" s="4"/>
      <c r="AGW35" s="4"/>
      <c r="AGX35" s="4"/>
      <c r="AGY35" s="4"/>
      <c r="AGZ35" s="4"/>
      <c r="AHA35" s="4"/>
      <c r="AHB35" s="4"/>
      <c r="AHC35" s="4"/>
      <c r="AHD35" s="4"/>
      <c r="AHE35" s="4"/>
      <c r="AHF35" s="4"/>
      <c r="AHG35" s="4"/>
      <c r="AHH35" s="4"/>
      <c r="AHI35" s="4"/>
      <c r="AHJ35" s="4"/>
      <c r="AHK35" s="4"/>
      <c r="AHL35" s="4"/>
      <c r="AHM35" s="4"/>
      <c r="AHN35" s="4"/>
      <c r="AHO35" s="4"/>
      <c r="AHP35" s="4"/>
      <c r="AHQ35" s="4"/>
      <c r="AHR35" s="4"/>
      <c r="AHS35" s="4"/>
      <c r="AHT35" s="4"/>
      <c r="AHU35" s="4"/>
      <c r="AHV35" s="4"/>
      <c r="AHW35" s="4"/>
      <c r="AHX35" s="4"/>
      <c r="AHY35" s="4"/>
      <c r="AHZ35" s="4"/>
      <c r="AIA35" s="4"/>
      <c r="AIB35" s="4"/>
      <c r="AIC35" s="4"/>
      <c r="AID35" s="4"/>
      <c r="AIE35" s="4"/>
      <c r="AIF35" s="4"/>
      <c r="AIG35" s="4"/>
      <c r="AIH35" s="4"/>
      <c r="AII35" s="4"/>
      <c r="AIJ35" s="4"/>
      <c r="AIK35" s="4"/>
      <c r="AIL35" s="4"/>
      <c r="AIM35" s="4"/>
      <c r="AIN35" s="4"/>
      <c r="AIO35" s="4"/>
      <c r="AIP35" s="4"/>
      <c r="AIQ35" s="4"/>
      <c r="AIR35" s="4"/>
      <c r="AIS35" s="4"/>
      <c r="AIT35" s="4"/>
      <c r="AIU35" s="4"/>
      <c r="AIV35" s="4"/>
      <c r="AIW35" s="4"/>
      <c r="AIX35" s="4"/>
      <c r="AIY35" s="4"/>
      <c r="AIZ35" s="4"/>
      <c r="AJA35" s="4"/>
      <c r="AJB35" s="4"/>
      <c r="AJC35" s="4"/>
      <c r="AJD35" s="4"/>
      <c r="AJE35" s="4"/>
      <c r="AJF35" s="4"/>
      <c r="AJG35" s="4"/>
      <c r="AJH35" s="4"/>
      <c r="AJI35" s="4"/>
      <c r="AJJ35" s="4"/>
      <c r="AJK35" s="4"/>
      <c r="AJL35" s="4"/>
      <c r="AJM35" s="4"/>
      <c r="AJN35" s="4"/>
      <c r="AJO35" s="4"/>
      <c r="AJP35" s="4"/>
      <c r="AJQ35" s="4"/>
      <c r="AJR35" s="4"/>
      <c r="AJS35" s="4"/>
      <c r="AJT35" s="4"/>
      <c r="AJU35" s="4"/>
      <c r="AJV35" s="4"/>
      <c r="AJW35" s="4"/>
      <c r="AJX35" s="4"/>
      <c r="AJY35" s="4"/>
      <c r="AJZ35" s="4"/>
      <c r="AKA35" s="4"/>
      <c r="AKB35" s="4"/>
      <c r="AKC35" s="4"/>
      <c r="AKD35" s="4"/>
      <c r="AKE35" s="4"/>
      <c r="AKF35" s="4"/>
      <c r="AKG35" s="4"/>
      <c r="AKH35" s="4"/>
      <c r="AKI35" s="4"/>
      <c r="AKJ35" s="4"/>
      <c r="AKK35" s="4"/>
      <c r="AKL35" s="4"/>
      <c r="AKM35" s="4"/>
      <c r="AKN35" s="4"/>
      <c r="AKO35" s="4"/>
      <c r="AKP35" s="4"/>
      <c r="AKQ35" s="4"/>
      <c r="AKR35" s="4"/>
      <c r="AKS35" s="4"/>
      <c r="AKT35" s="4"/>
      <c r="AKU35" s="4"/>
      <c r="AKV35" s="4"/>
      <c r="AKW35" s="4"/>
      <c r="AKX35" s="4"/>
      <c r="AKY35" s="4"/>
      <c r="AKZ35" s="4"/>
      <c r="ALA35" s="4"/>
      <c r="ALB35" s="4"/>
      <c r="ALC35" s="4"/>
      <c r="ALD35" s="4"/>
      <c r="ALE35" s="4"/>
      <c r="ALF35" s="4"/>
      <c r="ALG35" s="4"/>
      <c r="ALH35" s="4"/>
      <c r="ALI35" s="4"/>
      <c r="ALJ35" s="4"/>
      <c r="ALK35" s="4"/>
      <c r="ALL35" s="4"/>
      <c r="ALM35" s="4"/>
      <c r="ALN35" s="4"/>
      <c r="ALO35" s="4"/>
      <c r="ALP35" s="4"/>
      <c r="ALQ35" s="4"/>
      <c r="ALR35" s="4"/>
      <c r="ALS35" s="4"/>
      <c r="ALT35" s="4"/>
      <c r="ALU35" s="4"/>
      <c r="ALV35" s="4"/>
      <c r="ALW35" s="4"/>
      <c r="ALX35" s="4"/>
      <c r="ALY35" s="4"/>
      <c r="ALZ35" s="4"/>
      <c r="AMA35" s="4"/>
      <c r="AMB35" s="4"/>
      <c r="AMC35" s="4"/>
      <c r="AMD35" s="4"/>
      <c r="AME35" s="4"/>
    </row>
    <row r="36" spans="1:1019" x14ac:dyDescent="0.25">
      <c r="A36" s="76" t="s">
        <v>723</v>
      </c>
      <c r="B36" s="77" t="s">
        <v>93</v>
      </c>
      <c r="C36" s="360">
        <f>1/16.35</f>
        <v>6.1162079510703356E-2</v>
      </c>
      <c r="D36" s="81"/>
      <c r="E36" s="81"/>
      <c r="F36" s="81"/>
      <c r="G36" s="81"/>
      <c r="H36" s="72"/>
      <c r="I36" s="78" t="s">
        <v>85</v>
      </c>
      <c r="J36" s="79"/>
      <c r="K36" s="80"/>
      <c r="L36" s="70"/>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c r="ZQ36" s="4"/>
      <c r="ZR36" s="4"/>
      <c r="ZS36" s="4"/>
      <c r="ZT36" s="4"/>
      <c r="ZU36" s="4"/>
      <c r="ZV36" s="4"/>
      <c r="ZW36" s="4"/>
      <c r="ZX36" s="4"/>
      <c r="ZY36" s="4"/>
      <c r="ZZ36" s="4"/>
      <c r="AAA36" s="4"/>
      <c r="AAB36" s="4"/>
      <c r="AAC36" s="4"/>
      <c r="AAD36" s="4"/>
      <c r="AAE36" s="4"/>
      <c r="AAF36" s="4"/>
      <c r="AAG36" s="4"/>
      <c r="AAH36" s="4"/>
      <c r="AAI36" s="4"/>
      <c r="AAJ36" s="4"/>
      <c r="AAK36" s="4"/>
      <c r="AAL36" s="4"/>
      <c r="AAM36" s="4"/>
      <c r="AAN36" s="4"/>
      <c r="AAO36" s="4"/>
      <c r="AAP36" s="4"/>
      <c r="AAQ36" s="4"/>
      <c r="AAR36" s="4"/>
      <c r="AAS36" s="4"/>
      <c r="AAT36" s="4"/>
      <c r="AAU36" s="4"/>
      <c r="AAV36" s="4"/>
      <c r="AAW36" s="4"/>
      <c r="AAX36" s="4"/>
      <c r="AAY36" s="4"/>
      <c r="AAZ36" s="4"/>
      <c r="ABA36" s="4"/>
      <c r="ABB36" s="4"/>
      <c r="ABC36" s="4"/>
      <c r="ABD36" s="4"/>
      <c r="ABE36" s="4"/>
      <c r="ABF36" s="4"/>
      <c r="ABG36" s="4"/>
      <c r="ABH36" s="4"/>
      <c r="ABI36" s="4"/>
      <c r="ABJ36" s="4"/>
      <c r="ABK36" s="4"/>
      <c r="ABL36" s="4"/>
      <c r="ABM36" s="4"/>
      <c r="ABN36" s="4"/>
      <c r="ABO36" s="4"/>
      <c r="ABP36" s="4"/>
      <c r="ABQ36" s="4"/>
      <c r="ABR36" s="4"/>
      <c r="ABS36" s="4"/>
      <c r="ABT36" s="4"/>
      <c r="ABU36" s="4"/>
      <c r="ABV36" s="4"/>
      <c r="ABW36" s="4"/>
      <c r="ABX36" s="4"/>
      <c r="ABY36" s="4"/>
      <c r="ABZ36" s="4"/>
      <c r="ACA36" s="4"/>
      <c r="ACB36" s="4"/>
      <c r="ACC36" s="4"/>
      <c r="ACD36" s="4"/>
      <c r="ACE36" s="4"/>
      <c r="ACF36" s="4"/>
      <c r="ACG36" s="4"/>
      <c r="ACH36" s="4"/>
      <c r="ACI36" s="4"/>
      <c r="ACJ36" s="4"/>
      <c r="ACK36" s="4"/>
      <c r="ACL36" s="4"/>
      <c r="ACM36" s="4"/>
      <c r="ACN36" s="4"/>
      <c r="ACO36" s="4"/>
      <c r="ACP36" s="4"/>
      <c r="ACQ36" s="4"/>
      <c r="ACR36" s="4"/>
      <c r="ACS36" s="4"/>
      <c r="ACT36" s="4"/>
      <c r="ACU36" s="4"/>
      <c r="ACV36" s="4"/>
      <c r="ACW36" s="4"/>
      <c r="ACX36" s="4"/>
      <c r="ACY36" s="4"/>
      <c r="ACZ36" s="4"/>
      <c r="ADA36" s="4"/>
      <c r="ADB36" s="4"/>
      <c r="ADC36" s="4"/>
      <c r="ADD36" s="4"/>
      <c r="ADE36" s="4"/>
      <c r="ADF36" s="4"/>
      <c r="ADG36" s="4"/>
      <c r="ADH36" s="4"/>
      <c r="ADI36" s="4"/>
      <c r="ADJ36" s="4"/>
      <c r="ADK36" s="4"/>
      <c r="ADL36" s="4"/>
      <c r="ADM36" s="4"/>
      <c r="ADN36" s="4"/>
      <c r="ADO36" s="4"/>
      <c r="ADP36" s="4"/>
      <c r="ADQ36" s="4"/>
      <c r="ADR36" s="4"/>
      <c r="ADS36" s="4"/>
      <c r="ADT36" s="4"/>
      <c r="ADU36" s="4"/>
      <c r="ADV36" s="4"/>
      <c r="ADW36" s="4"/>
      <c r="ADX36" s="4"/>
      <c r="ADY36" s="4"/>
      <c r="ADZ36" s="4"/>
      <c r="AEA36" s="4"/>
      <c r="AEB36" s="4"/>
      <c r="AEC36" s="4"/>
      <c r="AED36" s="4"/>
      <c r="AEE36" s="4"/>
      <c r="AEF36" s="4"/>
      <c r="AEG36" s="4"/>
      <c r="AEH36" s="4"/>
      <c r="AEI36" s="4"/>
      <c r="AEJ36" s="4"/>
      <c r="AEK36" s="4"/>
      <c r="AEL36" s="4"/>
      <c r="AEM36" s="4"/>
      <c r="AEN36" s="4"/>
      <c r="AEO36" s="4"/>
      <c r="AEP36" s="4"/>
      <c r="AEQ36" s="4"/>
      <c r="AER36" s="4"/>
      <c r="AES36" s="4"/>
      <c r="AET36" s="4"/>
      <c r="AEU36" s="4"/>
      <c r="AEV36" s="4"/>
      <c r="AEW36" s="4"/>
      <c r="AEX36" s="4"/>
      <c r="AEY36" s="4"/>
      <c r="AEZ36" s="4"/>
      <c r="AFA36" s="4"/>
      <c r="AFB36" s="4"/>
      <c r="AFC36" s="4"/>
      <c r="AFD36" s="4"/>
      <c r="AFE36" s="4"/>
      <c r="AFF36" s="4"/>
      <c r="AFG36" s="4"/>
      <c r="AFH36" s="4"/>
      <c r="AFI36" s="4"/>
      <c r="AFJ36" s="4"/>
      <c r="AFK36" s="4"/>
      <c r="AFL36" s="4"/>
      <c r="AFM36" s="4"/>
      <c r="AFN36" s="4"/>
      <c r="AFO36" s="4"/>
      <c r="AFP36" s="4"/>
      <c r="AFQ36" s="4"/>
      <c r="AFR36" s="4"/>
      <c r="AFS36" s="4"/>
      <c r="AFT36" s="4"/>
      <c r="AFU36" s="4"/>
      <c r="AFV36" s="4"/>
      <c r="AFW36" s="4"/>
      <c r="AFX36" s="4"/>
      <c r="AFY36" s="4"/>
      <c r="AFZ36" s="4"/>
      <c r="AGA36" s="4"/>
      <c r="AGB36" s="4"/>
      <c r="AGC36" s="4"/>
      <c r="AGD36" s="4"/>
      <c r="AGE36" s="4"/>
      <c r="AGF36" s="4"/>
      <c r="AGG36" s="4"/>
      <c r="AGH36" s="4"/>
      <c r="AGI36" s="4"/>
      <c r="AGJ36" s="4"/>
      <c r="AGK36" s="4"/>
      <c r="AGL36" s="4"/>
      <c r="AGM36" s="4"/>
      <c r="AGN36" s="4"/>
      <c r="AGO36" s="4"/>
      <c r="AGP36" s="4"/>
      <c r="AGQ36" s="4"/>
      <c r="AGR36" s="4"/>
      <c r="AGS36" s="4"/>
      <c r="AGT36" s="4"/>
      <c r="AGU36" s="4"/>
      <c r="AGV36" s="4"/>
      <c r="AGW36" s="4"/>
      <c r="AGX36" s="4"/>
      <c r="AGY36" s="4"/>
      <c r="AGZ36" s="4"/>
      <c r="AHA36" s="4"/>
      <c r="AHB36" s="4"/>
      <c r="AHC36" s="4"/>
      <c r="AHD36" s="4"/>
      <c r="AHE36" s="4"/>
      <c r="AHF36" s="4"/>
      <c r="AHG36" s="4"/>
      <c r="AHH36" s="4"/>
      <c r="AHI36" s="4"/>
      <c r="AHJ36" s="4"/>
      <c r="AHK36" s="4"/>
      <c r="AHL36" s="4"/>
      <c r="AHM36" s="4"/>
      <c r="AHN36" s="4"/>
      <c r="AHO36" s="4"/>
      <c r="AHP36" s="4"/>
      <c r="AHQ36" s="4"/>
      <c r="AHR36" s="4"/>
      <c r="AHS36" s="4"/>
      <c r="AHT36" s="4"/>
      <c r="AHU36" s="4"/>
      <c r="AHV36" s="4"/>
      <c r="AHW36" s="4"/>
      <c r="AHX36" s="4"/>
      <c r="AHY36" s="4"/>
      <c r="AHZ36" s="4"/>
      <c r="AIA36" s="4"/>
      <c r="AIB36" s="4"/>
      <c r="AIC36" s="4"/>
      <c r="AID36" s="4"/>
      <c r="AIE36" s="4"/>
      <c r="AIF36" s="4"/>
      <c r="AIG36" s="4"/>
      <c r="AIH36" s="4"/>
      <c r="AII36" s="4"/>
      <c r="AIJ36" s="4"/>
      <c r="AIK36" s="4"/>
      <c r="AIL36" s="4"/>
      <c r="AIM36" s="4"/>
      <c r="AIN36" s="4"/>
      <c r="AIO36" s="4"/>
      <c r="AIP36" s="4"/>
      <c r="AIQ36" s="4"/>
      <c r="AIR36" s="4"/>
      <c r="AIS36" s="4"/>
      <c r="AIT36" s="4"/>
      <c r="AIU36" s="4"/>
      <c r="AIV36" s="4"/>
      <c r="AIW36" s="4"/>
      <c r="AIX36" s="4"/>
      <c r="AIY36" s="4"/>
      <c r="AIZ36" s="4"/>
      <c r="AJA36" s="4"/>
      <c r="AJB36" s="4"/>
      <c r="AJC36" s="4"/>
      <c r="AJD36" s="4"/>
      <c r="AJE36" s="4"/>
      <c r="AJF36" s="4"/>
      <c r="AJG36" s="4"/>
      <c r="AJH36" s="4"/>
      <c r="AJI36" s="4"/>
      <c r="AJJ36" s="4"/>
      <c r="AJK36" s="4"/>
      <c r="AJL36" s="4"/>
      <c r="AJM36" s="4"/>
      <c r="AJN36" s="4"/>
      <c r="AJO36" s="4"/>
      <c r="AJP36" s="4"/>
      <c r="AJQ36" s="4"/>
      <c r="AJR36" s="4"/>
      <c r="AJS36" s="4"/>
      <c r="AJT36" s="4"/>
      <c r="AJU36" s="4"/>
      <c r="AJV36" s="4"/>
      <c r="AJW36" s="4"/>
      <c r="AJX36" s="4"/>
      <c r="AJY36" s="4"/>
      <c r="AJZ36" s="4"/>
      <c r="AKA36" s="4"/>
      <c r="AKB36" s="4"/>
      <c r="AKC36" s="4"/>
      <c r="AKD36" s="4"/>
      <c r="AKE36" s="4"/>
      <c r="AKF36" s="4"/>
      <c r="AKG36" s="4"/>
      <c r="AKH36" s="4"/>
      <c r="AKI36" s="4"/>
      <c r="AKJ36" s="4"/>
      <c r="AKK36" s="4"/>
      <c r="AKL36" s="4"/>
      <c r="AKM36" s="4"/>
      <c r="AKN36" s="4"/>
      <c r="AKO36" s="4"/>
      <c r="AKP36" s="4"/>
      <c r="AKQ36" s="4"/>
      <c r="AKR36" s="4"/>
      <c r="AKS36" s="4"/>
      <c r="AKT36" s="4"/>
      <c r="AKU36" s="4"/>
      <c r="AKV36" s="4"/>
      <c r="AKW36" s="4"/>
      <c r="AKX36" s="4"/>
      <c r="AKY36" s="4"/>
      <c r="AKZ36" s="4"/>
      <c r="ALA36" s="4"/>
      <c r="ALB36" s="4"/>
      <c r="ALC36" s="4"/>
      <c r="ALD36" s="4"/>
      <c r="ALE36" s="4"/>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c r="AMD36" s="4"/>
      <c r="AME36" s="4"/>
    </row>
    <row r="37" spans="1:1019" ht="15" customHeight="1" x14ac:dyDescent="0.25">
      <c r="A37" s="76" t="s">
        <v>14</v>
      </c>
      <c r="B37" s="77" t="s">
        <v>93</v>
      </c>
      <c r="C37" s="77">
        <v>2.0000000000000001E-4</v>
      </c>
      <c r="D37" s="81"/>
      <c r="E37" s="81"/>
      <c r="F37" s="81"/>
      <c r="G37" s="81"/>
      <c r="H37" s="72"/>
      <c r="I37" s="78" t="s">
        <v>86</v>
      </c>
      <c r="J37" s="79"/>
      <c r="K37" s="80"/>
      <c r="L37" s="70"/>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4"/>
      <c r="VM37" s="4"/>
      <c r="VN37" s="4"/>
      <c r="VO37" s="4"/>
      <c r="VP37" s="4"/>
      <c r="VQ37" s="4"/>
      <c r="VR37" s="4"/>
      <c r="VS37" s="4"/>
      <c r="VT37" s="4"/>
      <c r="VU37" s="4"/>
      <c r="VV37" s="4"/>
      <c r="VW37" s="4"/>
      <c r="VX37" s="4"/>
      <c r="VY37" s="4"/>
      <c r="VZ37" s="4"/>
      <c r="WA37" s="4"/>
      <c r="WB37" s="4"/>
      <c r="WC37" s="4"/>
      <c r="WD37" s="4"/>
      <c r="WE37" s="4"/>
      <c r="WF37" s="4"/>
      <c r="WG37" s="4"/>
      <c r="WH37" s="4"/>
      <c r="WI37" s="4"/>
      <c r="WJ37" s="4"/>
      <c r="WK37" s="4"/>
      <c r="WL37" s="4"/>
      <c r="WM37" s="4"/>
      <c r="WN37" s="4"/>
      <c r="WO37" s="4"/>
      <c r="WP37" s="4"/>
      <c r="WQ37" s="4"/>
      <c r="WR37" s="4"/>
      <c r="WS37" s="4"/>
      <c r="WT37" s="4"/>
      <c r="WU37" s="4"/>
      <c r="WV37" s="4"/>
      <c r="WW37" s="4"/>
      <c r="WX37" s="4"/>
      <c r="WY37" s="4"/>
      <c r="WZ37" s="4"/>
      <c r="XA37" s="4"/>
      <c r="XB37" s="4"/>
      <c r="XC37" s="4"/>
      <c r="XD37" s="4"/>
      <c r="XE37" s="4"/>
      <c r="XF37" s="4"/>
      <c r="XG37" s="4"/>
      <c r="XH37" s="4"/>
      <c r="XI37" s="4"/>
      <c r="XJ37" s="4"/>
      <c r="XK37" s="4"/>
      <c r="XL37" s="4"/>
      <c r="XM37" s="4"/>
      <c r="XN37" s="4"/>
      <c r="XO37" s="4"/>
      <c r="XP37" s="4"/>
      <c r="XQ37" s="4"/>
      <c r="XR37" s="4"/>
      <c r="XS37" s="4"/>
      <c r="XT37" s="4"/>
      <c r="XU37" s="4"/>
      <c r="XV37" s="4"/>
      <c r="XW37" s="4"/>
      <c r="XX37" s="4"/>
      <c r="XY37" s="4"/>
      <c r="XZ37" s="4"/>
      <c r="YA37" s="4"/>
      <c r="YB37" s="4"/>
      <c r="YC37" s="4"/>
      <c r="YD37" s="4"/>
      <c r="YE37" s="4"/>
      <c r="YF37" s="4"/>
      <c r="YG37" s="4"/>
      <c r="YH37" s="4"/>
      <c r="YI37" s="4"/>
      <c r="YJ37" s="4"/>
      <c r="YK37" s="4"/>
      <c r="YL37" s="4"/>
      <c r="YM37" s="4"/>
      <c r="YN37" s="4"/>
      <c r="YO37" s="4"/>
      <c r="YP37" s="4"/>
      <c r="YQ37" s="4"/>
      <c r="YR37" s="4"/>
      <c r="YS37" s="4"/>
      <c r="YT37" s="4"/>
      <c r="YU37" s="4"/>
      <c r="YV37" s="4"/>
      <c r="YW37" s="4"/>
      <c r="YX37" s="4"/>
      <c r="YY37" s="4"/>
      <c r="YZ37" s="4"/>
      <c r="ZA37" s="4"/>
      <c r="ZB37" s="4"/>
      <c r="ZC37" s="4"/>
      <c r="ZD37" s="4"/>
      <c r="ZE37" s="4"/>
      <c r="ZF37" s="4"/>
      <c r="ZG37" s="4"/>
      <c r="ZH37" s="4"/>
      <c r="ZI37" s="4"/>
      <c r="ZJ37" s="4"/>
      <c r="ZK37" s="4"/>
      <c r="ZL37" s="4"/>
      <c r="ZM37" s="4"/>
      <c r="ZN37" s="4"/>
      <c r="ZO37" s="4"/>
      <c r="ZP37" s="4"/>
      <c r="ZQ37" s="4"/>
      <c r="ZR37" s="4"/>
      <c r="ZS37" s="4"/>
      <c r="ZT37" s="4"/>
      <c r="ZU37" s="4"/>
      <c r="ZV37" s="4"/>
      <c r="ZW37" s="4"/>
      <c r="ZX37" s="4"/>
      <c r="ZY37" s="4"/>
      <c r="ZZ37" s="4"/>
      <c r="AAA37" s="4"/>
      <c r="AAB37" s="4"/>
      <c r="AAC37" s="4"/>
      <c r="AAD37" s="4"/>
      <c r="AAE37" s="4"/>
      <c r="AAF37" s="4"/>
      <c r="AAG37" s="4"/>
      <c r="AAH37" s="4"/>
      <c r="AAI37" s="4"/>
      <c r="AAJ37" s="4"/>
      <c r="AAK37" s="4"/>
      <c r="AAL37" s="4"/>
      <c r="AAM37" s="4"/>
      <c r="AAN37" s="4"/>
      <c r="AAO37" s="4"/>
      <c r="AAP37" s="4"/>
      <c r="AAQ37" s="4"/>
      <c r="AAR37" s="4"/>
      <c r="AAS37" s="4"/>
      <c r="AAT37" s="4"/>
      <c r="AAU37" s="4"/>
      <c r="AAV37" s="4"/>
      <c r="AAW37" s="4"/>
      <c r="AAX37" s="4"/>
      <c r="AAY37" s="4"/>
      <c r="AAZ37" s="4"/>
      <c r="ABA37" s="4"/>
      <c r="ABB37" s="4"/>
      <c r="ABC37" s="4"/>
      <c r="ABD37" s="4"/>
      <c r="ABE37" s="4"/>
      <c r="ABF37" s="4"/>
      <c r="ABG37" s="4"/>
      <c r="ABH37" s="4"/>
      <c r="ABI37" s="4"/>
      <c r="ABJ37" s="4"/>
      <c r="ABK37" s="4"/>
      <c r="ABL37" s="4"/>
      <c r="ABM37" s="4"/>
      <c r="ABN37" s="4"/>
      <c r="ABO37" s="4"/>
      <c r="ABP37" s="4"/>
      <c r="ABQ37" s="4"/>
      <c r="ABR37" s="4"/>
      <c r="ABS37" s="4"/>
      <c r="ABT37" s="4"/>
      <c r="ABU37" s="4"/>
      <c r="ABV37" s="4"/>
      <c r="ABW37" s="4"/>
      <c r="ABX37" s="4"/>
      <c r="ABY37" s="4"/>
      <c r="ABZ37" s="4"/>
      <c r="ACA37" s="4"/>
      <c r="ACB37" s="4"/>
      <c r="ACC37" s="4"/>
      <c r="ACD37" s="4"/>
      <c r="ACE37" s="4"/>
      <c r="ACF37" s="4"/>
      <c r="ACG37" s="4"/>
      <c r="ACH37" s="4"/>
      <c r="ACI37" s="4"/>
      <c r="ACJ37" s="4"/>
      <c r="ACK37" s="4"/>
      <c r="ACL37" s="4"/>
      <c r="ACM37" s="4"/>
      <c r="ACN37" s="4"/>
      <c r="ACO37" s="4"/>
      <c r="ACP37" s="4"/>
      <c r="ACQ37" s="4"/>
      <c r="ACR37" s="4"/>
      <c r="ACS37" s="4"/>
      <c r="ACT37" s="4"/>
      <c r="ACU37" s="4"/>
      <c r="ACV37" s="4"/>
      <c r="ACW37" s="4"/>
      <c r="ACX37" s="4"/>
      <c r="ACY37" s="4"/>
      <c r="ACZ37" s="4"/>
      <c r="ADA37" s="4"/>
      <c r="ADB37" s="4"/>
      <c r="ADC37" s="4"/>
      <c r="ADD37" s="4"/>
      <c r="ADE37" s="4"/>
      <c r="ADF37" s="4"/>
      <c r="ADG37" s="4"/>
      <c r="ADH37" s="4"/>
      <c r="ADI37" s="4"/>
      <c r="ADJ37" s="4"/>
      <c r="ADK37" s="4"/>
      <c r="ADL37" s="4"/>
      <c r="ADM37" s="4"/>
      <c r="ADN37" s="4"/>
      <c r="ADO37" s="4"/>
      <c r="ADP37" s="4"/>
      <c r="ADQ37" s="4"/>
      <c r="ADR37" s="4"/>
      <c r="ADS37" s="4"/>
      <c r="ADT37" s="4"/>
      <c r="ADU37" s="4"/>
      <c r="ADV37" s="4"/>
      <c r="ADW37" s="4"/>
      <c r="ADX37" s="4"/>
      <c r="ADY37" s="4"/>
      <c r="ADZ37" s="4"/>
      <c r="AEA37" s="4"/>
      <c r="AEB37" s="4"/>
      <c r="AEC37" s="4"/>
      <c r="AED37" s="4"/>
      <c r="AEE37" s="4"/>
      <c r="AEF37" s="4"/>
      <c r="AEG37" s="4"/>
      <c r="AEH37" s="4"/>
      <c r="AEI37" s="4"/>
      <c r="AEJ37" s="4"/>
      <c r="AEK37" s="4"/>
      <c r="AEL37" s="4"/>
      <c r="AEM37" s="4"/>
      <c r="AEN37" s="4"/>
      <c r="AEO37" s="4"/>
      <c r="AEP37" s="4"/>
      <c r="AEQ37" s="4"/>
      <c r="AER37" s="4"/>
      <c r="AES37" s="4"/>
      <c r="AET37" s="4"/>
      <c r="AEU37" s="4"/>
      <c r="AEV37" s="4"/>
      <c r="AEW37" s="4"/>
      <c r="AEX37" s="4"/>
      <c r="AEY37" s="4"/>
      <c r="AEZ37" s="4"/>
      <c r="AFA37" s="4"/>
      <c r="AFB37" s="4"/>
      <c r="AFC37" s="4"/>
      <c r="AFD37" s="4"/>
      <c r="AFE37" s="4"/>
      <c r="AFF37" s="4"/>
      <c r="AFG37" s="4"/>
      <c r="AFH37" s="4"/>
      <c r="AFI37" s="4"/>
      <c r="AFJ37" s="4"/>
      <c r="AFK37" s="4"/>
      <c r="AFL37" s="4"/>
      <c r="AFM37" s="4"/>
      <c r="AFN37" s="4"/>
      <c r="AFO37" s="4"/>
      <c r="AFP37" s="4"/>
      <c r="AFQ37" s="4"/>
      <c r="AFR37" s="4"/>
      <c r="AFS37" s="4"/>
      <c r="AFT37" s="4"/>
      <c r="AFU37" s="4"/>
      <c r="AFV37" s="4"/>
      <c r="AFW37" s="4"/>
      <c r="AFX37" s="4"/>
      <c r="AFY37" s="4"/>
      <c r="AFZ37" s="4"/>
      <c r="AGA37" s="4"/>
      <c r="AGB37" s="4"/>
      <c r="AGC37" s="4"/>
      <c r="AGD37" s="4"/>
      <c r="AGE37" s="4"/>
      <c r="AGF37" s="4"/>
      <c r="AGG37" s="4"/>
      <c r="AGH37" s="4"/>
      <c r="AGI37" s="4"/>
      <c r="AGJ37" s="4"/>
      <c r="AGK37" s="4"/>
      <c r="AGL37" s="4"/>
      <c r="AGM37" s="4"/>
      <c r="AGN37" s="4"/>
      <c r="AGO37" s="4"/>
      <c r="AGP37" s="4"/>
      <c r="AGQ37" s="4"/>
      <c r="AGR37" s="4"/>
      <c r="AGS37" s="4"/>
      <c r="AGT37" s="4"/>
      <c r="AGU37" s="4"/>
      <c r="AGV37" s="4"/>
      <c r="AGW37" s="4"/>
      <c r="AGX37" s="4"/>
      <c r="AGY37" s="4"/>
      <c r="AGZ37" s="4"/>
      <c r="AHA37" s="4"/>
      <c r="AHB37" s="4"/>
      <c r="AHC37" s="4"/>
      <c r="AHD37" s="4"/>
      <c r="AHE37" s="4"/>
      <c r="AHF37" s="4"/>
      <c r="AHG37" s="4"/>
      <c r="AHH37" s="4"/>
      <c r="AHI37" s="4"/>
      <c r="AHJ37" s="4"/>
      <c r="AHK37" s="4"/>
      <c r="AHL37" s="4"/>
      <c r="AHM37" s="4"/>
      <c r="AHN37" s="4"/>
      <c r="AHO37" s="4"/>
      <c r="AHP37" s="4"/>
      <c r="AHQ37" s="4"/>
      <c r="AHR37" s="4"/>
      <c r="AHS37" s="4"/>
      <c r="AHT37" s="4"/>
      <c r="AHU37" s="4"/>
      <c r="AHV37" s="4"/>
      <c r="AHW37" s="4"/>
      <c r="AHX37" s="4"/>
      <c r="AHY37" s="4"/>
      <c r="AHZ37" s="4"/>
      <c r="AIA37" s="4"/>
      <c r="AIB37" s="4"/>
      <c r="AIC37" s="4"/>
      <c r="AID37" s="4"/>
      <c r="AIE37" s="4"/>
      <c r="AIF37" s="4"/>
      <c r="AIG37" s="4"/>
      <c r="AIH37" s="4"/>
      <c r="AII37" s="4"/>
      <c r="AIJ37" s="4"/>
      <c r="AIK37" s="4"/>
      <c r="AIL37" s="4"/>
      <c r="AIM37" s="4"/>
      <c r="AIN37" s="4"/>
      <c r="AIO37" s="4"/>
      <c r="AIP37" s="4"/>
      <c r="AIQ37" s="4"/>
      <c r="AIR37" s="4"/>
      <c r="AIS37" s="4"/>
      <c r="AIT37" s="4"/>
      <c r="AIU37" s="4"/>
      <c r="AIV37" s="4"/>
      <c r="AIW37" s="4"/>
      <c r="AIX37" s="4"/>
      <c r="AIY37" s="4"/>
      <c r="AIZ37" s="4"/>
      <c r="AJA37" s="4"/>
      <c r="AJB37" s="4"/>
      <c r="AJC37" s="4"/>
      <c r="AJD37" s="4"/>
      <c r="AJE37" s="4"/>
      <c r="AJF37" s="4"/>
      <c r="AJG37" s="4"/>
      <c r="AJH37" s="4"/>
      <c r="AJI37" s="4"/>
      <c r="AJJ37" s="4"/>
      <c r="AJK37" s="4"/>
      <c r="AJL37" s="4"/>
      <c r="AJM37" s="4"/>
      <c r="AJN37" s="4"/>
      <c r="AJO37" s="4"/>
      <c r="AJP37" s="4"/>
      <c r="AJQ37" s="4"/>
      <c r="AJR37" s="4"/>
      <c r="AJS37" s="4"/>
      <c r="AJT37" s="4"/>
      <c r="AJU37" s="4"/>
      <c r="AJV37" s="4"/>
      <c r="AJW37" s="4"/>
      <c r="AJX37" s="4"/>
      <c r="AJY37" s="4"/>
      <c r="AJZ37" s="4"/>
      <c r="AKA37" s="4"/>
      <c r="AKB37" s="4"/>
      <c r="AKC37" s="4"/>
      <c r="AKD37" s="4"/>
      <c r="AKE37" s="4"/>
      <c r="AKF37" s="4"/>
      <c r="AKG37" s="4"/>
      <c r="AKH37" s="4"/>
      <c r="AKI37" s="4"/>
      <c r="AKJ37" s="4"/>
      <c r="AKK37" s="4"/>
      <c r="AKL37" s="4"/>
      <c r="AKM37" s="4"/>
      <c r="AKN37" s="4"/>
      <c r="AKO37" s="4"/>
      <c r="AKP37" s="4"/>
      <c r="AKQ37" s="4"/>
      <c r="AKR37" s="4"/>
      <c r="AKS37" s="4"/>
      <c r="AKT37" s="4"/>
      <c r="AKU37" s="4"/>
      <c r="AKV37" s="4"/>
      <c r="AKW37" s="4"/>
      <c r="AKX37" s="4"/>
      <c r="AKY37" s="4"/>
      <c r="AKZ37" s="4"/>
      <c r="ALA37" s="4"/>
      <c r="ALB37" s="4"/>
      <c r="ALC37" s="4"/>
      <c r="ALD37" s="4"/>
      <c r="ALE37" s="4"/>
      <c r="ALF37" s="4"/>
      <c r="ALG37" s="4"/>
      <c r="ALH37" s="4"/>
      <c r="ALI37" s="4"/>
      <c r="ALJ37" s="4"/>
      <c r="ALK37" s="4"/>
      <c r="ALL37" s="4"/>
      <c r="ALM37" s="4"/>
      <c r="ALN37" s="4"/>
      <c r="ALO37" s="4"/>
      <c r="ALP37" s="4"/>
      <c r="ALQ37" s="4"/>
      <c r="ALR37" s="4"/>
      <c r="ALS37" s="4"/>
      <c r="ALT37" s="4"/>
      <c r="ALU37" s="4"/>
      <c r="ALV37" s="4"/>
      <c r="ALW37" s="4"/>
      <c r="ALX37" s="4"/>
      <c r="ALY37" s="4"/>
      <c r="ALZ37" s="4"/>
      <c r="AMA37" s="4"/>
      <c r="AMB37" s="4"/>
      <c r="AMC37" s="4"/>
      <c r="AMD37" s="4"/>
      <c r="AME37" s="4"/>
    </row>
    <row r="38" spans="1:1019" ht="15" customHeight="1" x14ac:dyDescent="0.25">
      <c r="A38" s="76" t="s">
        <v>659</v>
      </c>
      <c r="B38" s="77" t="s">
        <v>93</v>
      </c>
      <c r="C38" s="359">
        <f>1/7.6</f>
        <v>0.13157894736842105</v>
      </c>
      <c r="D38" s="431"/>
      <c r="E38" s="81"/>
      <c r="F38" s="81"/>
      <c r="G38" s="81"/>
      <c r="H38" s="72"/>
      <c r="I38" s="78" t="s">
        <v>87</v>
      </c>
      <c r="J38" s="79"/>
      <c r="K38" s="80"/>
      <c r="L38" s="70"/>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4"/>
      <c r="VM38" s="4"/>
      <c r="VN38" s="4"/>
      <c r="VO38" s="4"/>
      <c r="VP38" s="4"/>
      <c r="VQ38" s="4"/>
      <c r="VR38" s="4"/>
      <c r="VS38" s="4"/>
      <c r="VT38" s="4"/>
      <c r="VU38" s="4"/>
      <c r="VV38" s="4"/>
      <c r="VW38" s="4"/>
      <c r="VX38" s="4"/>
      <c r="VY38" s="4"/>
      <c r="VZ38" s="4"/>
      <c r="WA38" s="4"/>
      <c r="WB38" s="4"/>
      <c r="WC38" s="4"/>
      <c r="WD38" s="4"/>
      <c r="WE38" s="4"/>
      <c r="WF38" s="4"/>
      <c r="WG38" s="4"/>
      <c r="WH38" s="4"/>
      <c r="WI38" s="4"/>
      <c r="WJ38" s="4"/>
      <c r="WK38" s="4"/>
      <c r="WL38" s="4"/>
      <c r="WM38" s="4"/>
      <c r="WN38" s="4"/>
      <c r="WO38" s="4"/>
      <c r="WP38" s="4"/>
      <c r="WQ38" s="4"/>
      <c r="WR38" s="4"/>
      <c r="WS38" s="4"/>
      <c r="WT38" s="4"/>
      <c r="WU38" s="4"/>
      <c r="WV38" s="4"/>
      <c r="WW38" s="4"/>
      <c r="WX38" s="4"/>
      <c r="WY38" s="4"/>
      <c r="WZ38" s="4"/>
      <c r="XA38" s="4"/>
      <c r="XB38" s="4"/>
      <c r="XC38" s="4"/>
      <c r="XD38" s="4"/>
      <c r="XE38" s="4"/>
      <c r="XF38" s="4"/>
      <c r="XG38" s="4"/>
      <c r="XH38" s="4"/>
      <c r="XI38" s="4"/>
      <c r="XJ38" s="4"/>
      <c r="XK38" s="4"/>
      <c r="XL38" s="4"/>
      <c r="XM38" s="4"/>
      <c r="XN38" s="4"/>
      <c r="XO38" s="4"/>
      <c r="XP38" s="4"/>
      <c r="XQ38" s="4"/>
      <c r="XR38" s="4"/>
      <c r="XS38" s="4"/>
      <c r="XT38" s="4"/>
      <c r="XU38" s="4"/>
      <c r="XV38" s="4"/>
      <c r="XW38" s="4"/>
      <c r="XX38" s="4"/>
      <c r="XY38" s="4"/>
      <c r="XZ38" s="4"/>
      <c r="YA38" s="4"/>
      <c r="YB38" s="4"/>
      <c r="YC38" s="4"/>
      <c r="YD38" s="4"/>
      <c r="YE38" s="4"/>
      <c r="YF38" s="4"/>
      <c r="YG38" s="4"/>
      <c r="YH38" s="4"/>
      <c r="YI38" s="4"/>
      <c r="YJ38" s="4"/>
      <c r="YK38" s="4"/>
      <c r="YL38" s="4"/>
      <c r="YM38" s="4"/>
      <c r="YN38" s="4"/>
      <c r="YO38" s="4"/>
      <c r="YP38" s="4"/>
      <c r="YQ38" s="4"/>
      <c r="YR38" s="4"/>
      <c r="YS38" s="4"/>
      <c r="YT38" s="4"/>
      <c r="YU38" s="4"/>
      <c r="YV38" s="4"/>
      <c r="YW38" s="4"/>
      <c r="YX38" s="4"/>
      <c r="YY38" s="4"/>
      <c r="YZ38" s="4"/>
      <c r="ZA38" s="4"/>
      <c r="ZB38" s="4"/>
      <c r="ZC38" s="4"/>
      <c r="ZD38" s="4"/>
      <c r="ZE38" s="4"/>
      <c r="ZF38" s="4"/>
      <c r="ZG38" s="4"/>
      <c r="ZH38" s="4"/>
      <c r="ZI38" s="4"/>
      <c r="ZJ38" s="4"/>
      <c r="ZK38" s="4"/>
      <c r="ZL38" s="4"/>
      <c r="ZM38" s="4"/>
      <c r="ZN38" s="4"/>
      <c r="ZO38" s="4"/>
      <c r="ZP38" s="4"/>
      <c r="ZQ38" s="4"/>
      <c r="ZR38" s="4"/>
      <c r="ZS38" s="4"/>
      <c r="ZT38" s="4"/>
      <c r="ZU38" s="4"/>
      <c r="ZV38" s="4"/>
      <c r="ZW38" s="4"/>
      <c r="ZX38" s="4"/>
      <c r="ZY38" s="4"/>
      <c r="ZZ38" s="4"/>
      <c r="AAA38" s="4"/>
      <c r="AAB38" s="4"/>
      <c r="AAC38" s="4"/>
      <c r="AAD38" s="4"/>
      <c r="AAE38" s="4"/>
      <c r="AAF38" s="4"/>
      <c r="AAG38" s="4"/>
      <c r="AAH38" s="4"/>
      <c r="AAI38" s="4"/>
      <c r="AAJ38" s="4"/>
      <c r="AAK38" s="4"/>
      <c r="AAL38" s="4"/>
      <c r="AAM38" s="4"/>
      <c r="AAN38" s="4"/>
      <c r="AAO38" s="4"/>
      <c r="AAP38" s="4"/>
      <c r="AAQ38" s="4"/>
      <c r="AAR38" s="4"/>
      <c r="AAS38" s="4"/>
      <c r="AAT38" s="4"/>
      <c r="AAU38" s="4"/>
      <c r="AAV38" s="4"/>
      <c r="AAW38" s="4"/>
      <c r="AAX38" s="4"/>
      <c r="AAY38" s="4"/>
      <c r="AAZ38" s="4"/>
      <c r="ABA38" s="4"/>
      <c r="ABB38" s="4"/>
      <c r="ABC38" s="4"/>
      <c r="ABD38" s="4"/>
      <c r="ABE38" s="4"/>
      <c r="ABF38" s="4"/>
      <c r="ABG38" s="4"/>
      <c r="ABH38" s="4"/>
      <c r="ABI38" s="4"/>
      <c r="ABJ38" s="4"/>
      <c r="ABK38" s="4"/>
      <c r="ABL38" s="4"/>
      <c r="ABM38" s="4"/>
      <c r="ABN38" s="4"/>
      <c r="ABO38" s="4"/>
      <c r="ABP38" s="4"/>
      <c r="ABQ38" s="4"/>
      <c r="ABR38" s="4"/>
      <c r="ABS38" s="4"/>
      <c r="ABT38" s="4"/>
      <c r="ABU38" s="4"/>
      <c r="ABV38" s="4"/>
      <c r="ABW38" s="4"/>
      <c r="ABX38" s="4"/>
      <c r="ABY38" s="4"/>
      <c r="ABZ38" s="4"/>
      <c r="ACA38" s="4"/>
      <c r="ACB38" s="4"/>
      <c r="ACC38" s="4"/>
      <c r="ACD38" s="4"/>
      <c r="ACE38" s="4"/>
      <c r="ACF38" s="4"/>
      <c r="ACG38" s="4"/>
      <c r="ACH38" s="4"/>
      <c r="ACI38" s="4"/>
      <c r="ACJ38" s="4"/>
      <c r="ACK38" s="4"/>
      <c r="ACL38" s="4"/>
      <c r="ACM38" s="4"/>
      <c r="ACN38" s="4"/>
      <c r="ACO38" s="4"/>
      <c r="ACP38" s="4"/>
      <c r="ACQ38" s="4"/>
      <c r="ACR38" s="4"/>
      <c r="ACS38" s="4"/>
      <c r="ACT38" s="4"/>
      <c r="ACU38" s="4"/>
      <c r="ACV38" s="4"/>
      <c r="ACW38" s="4"/>
      <c r="ACX38" s="4"/>
      <c r="ACY38" s="4"/>
      <c r="ACZ38" s="4"/>
      <c r="ADA38" s="4"/>
      <c r="ADB38" s="4"/>
      <c r="ADC38" s="4"/>
      <c r="ADD38" s="4"/>
      <c r="ADE38" s="4"/>
      <c r="ADF38" s="4"/>
      <c r="ADG38" s="4"/>
      <c r="ADH38" s="4"/>
      <c r="ADI38" s="4"/>
      <c r="ADJ38" s="4"/>
      <c r="ADK38" s="4"/>
      <c r="ADL38" s="4"/>
      <c r="ADM38" s="4"/>
      <c r="ADN38" s="4"/>
      <c r="ADO38" s="4"/>
      <c r="ADP38" s="4"/>
      <c r="ADQ38" s="4"/>
      <c r="ADR38" s="4"/>
      <c r="ADS38" s="4"/>
      <c r="ADT38" s="4"/>
      <c r="ADU38" s="4"/>
      <c r="ADV38" s="4"/>
      <c r="ADW38" s="4"/>
      <c r="ADX38" s="4"/>
      <c r="ADY38" s="4"/>
      <c r="ADZ38" s="4"/>
      <c r="AEA38" s="4"/>
      <c r="AEB38" s="4"/>
      <c r="AEC38" s="4"/>
      <c r="AED38" s="4"/>
      <c r="AEE38" s="4"/>
      <c r="AEF38" s="4"/>
      <c r="AEG38" s="4"/>
      <c r="AEH38" s="4"/>
      <c r="AEI38" s="4"/>
      <c r="AEJ38" s="4"/>
      <c r="AEK38" s="4"/>
      <c r="AEL38" s="4"/>
      <c r="AEM38" s="4"/>
      <c r="AEN38" s="4"/>
      <c r="AEO38" s="4"/>
      <c r="AEP38" s="4"/>
      <c r="AEQ38" s="4"/>
      <c r="AER38" s="4"/>
      <c r="AES38" s="4"/>
      <c r="AET38" s="4"/>
      <c r="AEU38" s="4"/>
      <c r="AEV38" s="4"/>
      <c r="AEW38" s="4"/>
      <c r="AEX38" s="4"/>
      <c r="AEY38" s="4"/>
      <c r="AEZ38" s="4"/>
      <c r="AFA38" s="4"/>
      <c r="AFB38" s="4"/>
      <c r="AFC38" s="4"/>
      <c r="AFD38" s="4"/>
      <c r="AFE38" s="4"/>
      <c r="AFF38" s="4"/>
      <c r="AFG38" s="4"/>
      <c r="AFH38" s="4"/>
      <c r="AFI38" s="4"/>
      <c r="AFJ38" s="4"/>
      <c r="AFK38" s="4"/>
      <c r="AFL38" s="4"/>
      <c r="AFM38" s="4"/>
      <c r="AFN38" s="4"/>
      <c r="AFO38" s="4"/>
      <c r="AFP38" s="4"/>
      <c r="AFQ38" s="4"/>
      <c r="AFR38" s="4"/>
      <c r="AFS38" s="4"/>
      <c r="AFT38" s="4"/>
      <c r="AFU38" s="4"/>
      <c r="AFV38" s="4"/>
      <c r="AFW38" s="4"/>
      <c r="AFX38" s="4"/>
      <c r="AFY38" s="4"/>
      <c r="AFZ38" s="4"/>
      <c r="AGA38" s="4"/>
      <c r="AGB38" s="4"/>
      <c r="AGC38" s="4"/>
      <c r="AGD38" s="4"/>
      <c r="AGE38" s="4"/>
      <c r="AGF38" s="4"/>
      <c r="AGG38" s="4"/>
      <c r="AGH38" s="4"/>
      <c r="AGI38" s="4"/>
      <c r="AGJ38" s="4"/>
      <c r="AGK38" s="4"/>
      <c r="AGL38" s="4"/>
      <c r="AGM38" s="4"/>
      <c r="AGN38" s="4"/>
      <c r="AGO38" s="4"/>
      <c r="AGP38" s="4"/>
      <c r="AGQ38" s="4"/>
      <c r="AGR38" s="4"/>
      <c r="AGS38" s="4"/>
      <c r="AGT38" s="4"/>
      <c r="AGU38" s="4"/>
      <c r="AGV38" s="4"/>
      <c r="AGW38" s="4"/>
      <c r="AGX38" s="4"/>
      <c r="AGY38" s="4"/>
      <c r="AGZ38" s="4"/>
      <c r="AHA38" s="4"/>
      <c r="AHB38" s="4"/>
      <c r="AHC38" s="4"/>
      <c r="AHD38" s="4"/>
      <c r="AHE38" s="4"/>
      <c r="AHF38" s="4"/>
      <c r="AHG38" s="4"/>
      <c r="AHH38" s="4"/>
      <c r="AHI38" s="4"/>
      <c r="AHJ38" s="4"/>
      <c r="AHK38" s="4"/>
      <c r="AHL38" s="4"/>
      <c r="AHM38" s="4"/>
      <c r="AHN38" s="4"/>
      <c r="AHO38" s="4"/>
      <c r="AHP38" s="4"/>
      <c r="AHQ38" s="4"/>
      <c r="AHR38" s="4"/>
      <c r="AHS38" s="4"/>
      <c r="AHT38" s="4"/>
      <c r="AHU38" s="4"/>
      <c r="AHV38" s="4"/>
      <c r="AHW38" s="4"/>
      <c r="AHX38" s="4"/>
      <c r="AHY38" s="4"/>
      <c r="AHZ38" s="4"/>
      <c r="AIA38" s="4"/>
      <c r="AIB38" s="4"/>
      <c r="AIC38" s="4"/>
      <c r="AID38" s="4"/>
      <c r="AIE38" s="4"/>
      <c r="AIF38" s="4"/>
      <c r="AIG38" s="4"/>
      <c r="AIH38" s="4"/>
      <c r="AII38" s="4"/>
      <c r="AIJ38" s="4"/>
      <c r="AIK38" s="4"/>
      <c r="AIL38" s="4"/>
      <c r="AIM38" s="4"/>
      <c r="AIN38" s="4"/>
      <c r="AIO38" s="4"/>
      <c r="AIP38" s="4"/>
      <c r="AIQ38" s="4"/>
      <c r="AIR38" s="4"/>
      <c r="AIS38" s="4"/>
      <c r="AIT38" s="4"/>
      <c r="AIU38" s="4"/>
      <c r="AIV38" s="4"/>
      <c r="AIW38" s="4"/>
      <c r="AIX38" s="4"/>
      <c r="AIY38" s="4"/>
      <c r="AIZ38" s="4"/>
      <c r="AJA38" s="4"/>
      <c r="AJB38" s="4"/>
      <c r="AJC38" s="4"/>
      <c r="AJD38" s="4"/>
      <c r="AJE38" s="4"/>
      <c r="AJF38" s="4"/>
      <c r="AJG38" s="4"/>
      <c r="AJH38" s="4"/>
      <c r="AJI38" s="4"/>
      <c r="AJJ38" s="4"/>
      <c r="AJK38" s="4"/>
      <c r="AJL38" s="4"/>
      <c r="AJM38" s="4"/>
      <c r="AJN38" s="4"/>
      <c r="AJO38" s="4"/>
      <c r="AJP38" s="4"/>
      <c r="AJQ38" s="4"/>
      <c r="AJR38" s="4"/>
      <c r="AJS38" s="4"/>
      <c r="AJT38" s="4"/>
      <c r="AJU38" s="4"/>
      <c r="AJV38" s="4"/>
      <c r="AJW38" s="4"/>
      <c r="AJX38" s="4"/>
      <c r="AJY38" s="4"/>
      <c r="AJZ38" s="4"/>
      <c r="AKA38" s="4"/>
      <c r="AKB38" s="4"/>
      <c r="AKC38" s="4"/>
      <c r="AKD38" s="4"/>
      <c r="AKE38" s="4"/>
      <c r="AKF38" s="4"/>
      <c r="AKG38" s="4"/>
      <c r="AKH38" s="4"/>
      <c r="AKI38" s="4"/>
      <c r="AKJ38" s="4"/>
      <c r="AKK38" s="4"/>
      <c r="AKL38" s="4"/>
      <c r="AKM38" s="4"/>
      <c r="AKN38" s="4"/>
      <c r="AKO38" s="4"/>
      <c r="AKP38" s="4"/>
      <c r="AKQ38" s="4"/>
      <c r="AKR38" s="4"/>
      <c r="AKS38" s="4"/>
      <c r="AKT38" s="4"/>
      <c r="AKU38" s="4"/>
      <c r="AKV38" s="4"/>
      <c r="AKW38" s="4"/>
      <c r="AKX38" s="4"/>
      <c r="AKY38" s="4"/>
      <c r="AKZ38" s="4"/>
      <c r="ALA38" s="4"/>
      <c r="ALB38" s="4"/>
      <c r="ALC38" s="4"/>
      <c r="ALD38" s="4"/>
      <c r="ALE38" s="4"/>
      <c r="ALF38" s="4"/>
      <c r="ALG38" s="4"/>
      <c r="ALH38" s="4"/>
      <c r="ALI38" s="4"/>
      <c r="ALJ38" s="4"/>
      <c r="ALK38" s="4"/>
      <c r="ALL38" s="4"/>
      <c r="ALM38" s="4"/>
      <c r="ALN38" s="4"/>
      <c r="ALO38" s="4"/>
      <c r="ALP38" s="4"/>
      <c r="ALQ38" s="4"/>
      <c r="ALR38" s="4"/>
      <c r="ALS38" s="4"/>
      <c r="ALT38" s="4"/>
      <c r="ALU38" s="4"/>
      <c r="ALV38" s="4"/>
      <c r="ALW38" s="4"/>
      <c r="ALX38" s="4"/>
      <c r="ALY38" s="4"/>
      <c r="ALZ38" s="4"/>
      <c r="AMA38" s="4"/>
      <c r="AMB38" s="4"/>
      <c r="AMC38" s="4"/>
      <c r="AMD38" s="4"/>
      <c r="AME38" s="4"/>
    </row>
    <row r="39" spans="1:1019" ht="15" customHeight="1" x14ac:dyDescent="0.25">
      <c r="A39" s="76" t="s">
        <v>660</v>
      </c>
      <c r="B39" s="77" t="s">
        <v>93</v>
      </c>
      <c r="C39" s="360">
        <f>1/12.9</f>
        <v>7.7519379844961239E-2</v>
      </c>
      <c r="D39" s="81"/>
      <c r="E39" s="81"/>
      <c r="F39" s="81"/>
      <c r="G39" s="70"/>
      <c r="H39" s="72"/>
      <c r="I39" s="78" t="s">
        <v>88</v>
      </c>
      <c r="J39" s="79"/>
      <c r="K39" s="80"/>
      <c r="L39" s="70"/>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c r="UL39" s="4"/>
      <c r="UM39" s="4"/>
      <c r="UN39" s="4"/>
      <c r="UO39" s="4"/>
      <c r="UP39" s="4"/>
      <c r="UQ39" s="4"/>
      <c r="UR39" s="4"/>
      <c r="US39" s="4"/>
      <c r="UT39" s="4"/>
      <c r="UU39" s="4"/>
      <c r="UV39" s="4"/>
      <c r="UW39" s="4"/>
      <c r="UX39" s="4"/>
      <c r="UY39" s="4"/>
      <c r="UZ39" s="4"/>
      <c r="VA39" s="4"/>
      <c r="VB39" s="4"/>
      <c r="VC39" s="4"/>
      <c r="VD39" s="4"/>
      <c r="VE39" s="4"/>
      <c r="VF39" s="4"/>
      <c r="VG39" s="4"/>
      <c r="VH39" s="4"/>
      <c r="VI39" s="4"/>
      <c r="VJ39" s="4"/>
      <c r="VK39" s="4"/>
      <c r="VL39" s="4"/>
      <c r="VM39" s="4"/>
      <c r="VN39" s="4"/>
      <c r="VO39" s="4"/>
      <c r="VP39" s="4"/>
      <c r="VQ39" s="4"/>
      <c r="VR39" s="4"/>
      <c r="VS39" s="4"/>
      <c r="VT39" s="4"/>
      <c r="VU39" s="4"/>
      <c r="VV39" s="4"/>
      <c r="VW39" s="4"/>
      <c r="VX39" s="4"/>
      <c r="VY39" s="4"/>
      <c r="VZ39" s="4"/>
      <c r="WA39" s="4"/>
      <c r="WB39" s="4"/>
      <c r="WC39" s="4"/>
      <c r="WD39" s="4"/>
      <c r="WE39" s="4"/>
      <c r="WF39" s="4"/>
      <c r="WG39" s="4"/>
      <c r="WH39" s="4"/>
      <c r="WI39" s="4"/>
      <c r="WJ39" s="4"/>
      <c r="WK39" s="4"/>
      <c r="WL39" s="4"/>
      <c r="WM39" s="4"/>
      <c r="WN39" s="4"/>
      <c r="WO39" s="4"/>
      <c r="WP39" s="4"/>
      <c r="WQ39" s="4"/>
      <c r="WR39" s="4"/>
      <c r="WS39" s="4"/>
      <c r="WT39" s="4"/>
      <c r="WU39" s="4"/>
      <c r="WV39" s="4"/>
      <c r="WW39" s="4"/>
      <c r="WX39" s="4"/>
      <c r="WY39" s="4"/>
      <c r="WZ39" s="4"/>
      <c r="XA39" s="4"/>
      <c r="XB39" s="4"/>
      <c r="XC39" s="4"/>
      <c r="XD39" s="4"/>
      <c r="XE39" s="4"/>
      <c r="XF39" s="4"/>
      <c r="XG39" s="4"/>
      <c r="XH39" s="4"/>
      <c r="XI39" s="4"/>
      <c r="XJ39" s="4"/>
      <c r="XK39" s="4"/>
      <c r="XL39" s="4"/>
      <c r="XM39" s="4"/>
      <c r="XN39" s="4"/>
      <c r="XO39" s="4"/>
      <c r="XP39" s="4"/>
      <c r="XQ39" s="4"/>
      <c r="XR39" s="4"/>
      <c r="XS39" s="4"/>
      <c r="XT39" s="4"/>
      <c r="XU39" s="4"/>
      <c r="XV39" s="4"/>
      <c r="XW39" s="4"/>
      <c r="XX39" s="4"/>
      <c r="XY39" s="4"/>
      <c r="XZ39" s="4"/>
      <c r="YA39" s="4"/>
      <c r="YB39" s="4"/>
      <c r="YC39" s="4"/>
      <c r="YD39" s="4"/>
      <c r="YE39" s="4"/>
      <c r="YF39" s="4"/>
      <c r="YG39" s="4"/>
      <c r="YH39" s="4"/>
      <c r="YI39" s="4"/>
      <c r="YJ39" s="4"/>
      <c r="YK39" s="4"/>
      <c r="YL39" s="4"/>
      <c r="YM39" s="4"/>
      <c r="YN39" s="4"/>
      <c r="YO39" s="4"/>
      <c r="YP39" s="4"/>
      <c r="YQ39" s="4"/>
      <c r="YR39" s="4"/>
      <c r="YS39" s="4"/>
      <c r="YT39" s="4"/>
      <c r="YU39" s="4"/>
      <c r="YV39" s="4"/>
      <c r="YW39" s="4"/>
      <c r="YX39" s="4"/>
      <c r="YY39" s="4"/>
      <c r="YZ39" s="4"/>
      <c r="ZA39" s="4"/>
      <c r="ZB39" s="4"/>
      <c r="ZC39" s="4"/>
      <c r="ZD39" s="4"/>
      <c r="ZE39" s="4"/>
      <c r="ZF39" s="4"/>
      <c r="ZG39" s="4"/>
      <c r="ZH39" s="4"/>
      <c r="ZI39" s="4"/>
      <c r="ZJ39" s="4"/>
      <c r="ZK39" s="4"/>
      <c r="ZL39" s="4"/>
      <c r="ZM39" s="4"/>
      <c r="ZN39" s="4"/>
      <c r="ZO39" s="4"/>
      <c r="ZP39" s="4"/>
      <c r="ZQ39" s="4"/>
      <c r="ZR39" s="4"/>
      <c r="ZS39" s="4"/>
      <c r="ZT39" s="4"/>
      <c r="ZU39" s="4"/>
      <c r="ZV39" s="4"/>
      <c r="ZW39" s="4"/>
      <c r="ZX39" s="4"/>
      <c r="ZY39" s="4"/>
      <c r="ZZ39" s="4"/>
      <c r="AAA39" s="4"/>
      <c r="AAB39" s="4"/>
      <c r="AAC39" s="4"/>
      <c r="AAD39" s="4"/>
      <c r="AAE39" s="4"/>
      <c r="AAF39" s="4"/>
      <c r="AAG39" s="4"/>
      <c r="AAH39" s="4"/>
      <c r="AAI39" s="4"/>
      <c r="AAJ39" s="4"/>
      <c r="AAK39" s="4"/>
      <c r="AAL39" s="4"/>
      <c r="AAM39" s="4"/>
      <c r="AAN39" s="4"/>
      <c r="AAO39" s="4"/>
      <c r="AAP39" s="4"/>
      <c r="AAQ39" s="4"/>
      <c r="AAR39" s="4"/>
      <c r="AAS39" s="4"/>
      <c r="AAT39" s="4"/>
      <c r="AAU39" s="4"/>
      <c r="AAV39" s="4"/>
      <c r="AAW39" s="4"/>
      <c r="AAX39" s="4"/>
      <c r="AAY39" s="4"/>
      <c r="AAZ39" s="4"/>
      <c r="ABA39" s="4"/>
      <c r="ABB39" s="4"/>
      <c r="ABC39" s="4"/>
      <c r="ABD39" s="4"/>
      <c r="ABE39" s="4"/>
      <c r="ABF39" s="4"/>
      <c r="ABG39" s="4"/>
      <c r="ABH39" s="4"/>
      <c r="ABI39" s="4"/>
      <c r="ABJ39" s="4"/>
      <c r="ABK39" s="4"/>
      <c r="ABL39" s="4"/>
      <c r="ABM39" s="4"/>
      <c r="ABN39" s="4"/>
      <c r="ABO39" s="4"/>
      <c r="ABP39" s="4"/>
      <c r="ABQ39" s="4"/>
      <c r="ABR39" s="4"/>
      <c r="ABS39" s="4"/>
      <c r="ABT39" s="4"/>
      <c r="ABU39" s="4"/>
      <c r="ABV39" s="4"/>
      <c r="ABW39" s="4"/>
      <c r="ABX39" s="4"/>
      <c r="ABY39" s="4"/>
      <c r="ABZ39" s="4"/>
      <c r="ACA39" s="4"/>
      <c r="ACB39" s="4"/>
      <c r="ACC39" s="4"/>
      <c r="ACD39" s="4"/>
      <c r="ACE39" s="4"/>
      <c r="ACF39" s="4"/>
      <c r="ACG39" s="4"/>
      <c r="ACH39" s="4"/>
      <c r="ACI39" s="4"/>
      <c r="ACJ39" s="4"/>
      <c r="ACK39" s="4"/>
      <c r="ACL39" s="4"/>
      <c r="ACM39" s="4"/>
      <c r="ACN39" s="4"/>
      <c r="ACO39" s="4"/>
      <c r="ACP39" s="4"/>
      <c r="ACQ39" s="4"/>
      <c r="ACR39" s="4"/>
      <c r="ACS39" s="4"/>
      <c r="ACT39" s="4"/>
      <c r="ACU39" s="4"/>
      <c r="ACV39" s="4"/>
      <c r="ACW39" s="4"/>
      <c r="ACX39" s="4"/>
      <c r="ACY39" s="4"/>
      <c r="ACZ39" s="4"/>
      <c r="ADA39" s="4"/>
      <c r="ADB39" s="4"/>
      <c r="ADC39" s="4"/>
      <c r="ADD39" s="4"/>
      <c r="ADE39" s="4"/>
      <c r="ADF39" s="4"/>
      <c r="ADG39" s="4"/>
      <c r="ADH39" s="4"/>
      <c r="ADI39" s="4"/>
      <c r="ADJ39" s="4"/>
      <c r="ADK39" s="4"/>
      <c r="ADL39" s="4"/>
      <c r="ADM39" s="4"/>
      <c r="ADN39" s="4"/>
      <c r="ADO39" s="4"/>
      <c r="ADP39" s="4"/>
      <c r="ADQ39" s="4"/>
      <c r="ADR39" s="4"/>
      <c r="ADS39" s="4"/>
      <c r="ADT39" s="4"/>
      <c r="ADU39" s="4"/>
      <c r="ADV39" s="4"/>
      <c r="ADW39" s="4"/>
      <c r="ADX39" s="4"/>
      <c r="ADY39" s="4"/>
      <c r="ADZ39" s="4"/>
      <c r="AEA39" s="4"/>
      <c r="AEB39" s="4"/>
      <c r="AEC39" s="4"/>
      <c r="AED39" s="4"/>
      <c r="AEE39" s="4"/>
      <c r="AEF39" s="4"/>
      <c r="AEG39" s="4"/>
      <c r="AEH39" s="4"/>
      <c r="AEI39" s="4"/>
      <c r="AEJ39" s="4"/>
      <c r="AEK39" s="4"/>
      <c r="AEL39" s="4"/>
      <c r="AEM39" s="4"/>
      <c r="AEN39" s="4"/>
      <c r="AEO39" s="4"/>
      <c r="AEP39" s="4"/>
      <c r="AEQ39" s="4"/>
      <c r="AER39" s="4"/>
      <c r="AES39" s="4"/>
      <c r="AET39" s="4"/>
      <c r="AEU39" s="4"/>
      <c r="AEV39" s="4"/>
      <c r="AEW39" s="4"/>
      <c r="AEX39" s="4"/>
      <c r="AEY39" s="4"/>
      <c r="AEZ39" s="4"/>
      <c r="AFA39" s="4"/>
      <c r="AFB39" s="4"/>
      <c r="AFC39" s="4"/>
      <c r="AFD39" s="4"/>
      <c r="AFE39" s="4"/>
      <c r="AFF39" s="4"/>
      <c r="AFG39" s="4"/>
      <c r="AFH39" s="4"/>
      <c r="AFI39" s="4"/>
      <c r="AFJ39" s="4"/>
      <c r="AFK39" s="4"/>
      <c r="AFL39" s="4"/>
      <c r="AFM39" s="4"/>
      <c r="AFN39" s="4"/>
      <c r="AFO39" s="4"/>
      <c r="AFP39" s="4"/>
      <c r="AFQ39" s="4"/>
      <c r="AFR39" s="4"/>
      <c r="AFS39" s="4"/>
      <c r="AFT39" s="4"/>
      <c r="AFU39" s="4"/>
      <c r="AFV39" s="4"/>
      <c r="AFW39" s="4"/>
      <c r="AFX39" s="4"/>
      <c r="AFY39" s="4"/>
      <c r="AFZ39" s="4"/>
      <c r="AGA39" s="4"/>
      <c r="AGB39" s="4"/>
      <c r="AGC39" s="4"/>
      <c r="AGD39" s="4"/>
      <c r="AGE39" s="4"/>
      <c r="AGF39" s="4"/>
      <c r="AGG39" s="4"/>
      <c r="AGH39" s="4"/>
      <c r="AGI39" s="4"/>
      <c r="AGJ39" s="4"/>
      <c r="AGK39" s="4"/>
      <c r="AGL39" s="4"/>
      <c r="AGM39" s="4"/>
      <c r="AGN39" s="4"/>
      <c r="AGO39" s="4"/>
      <c r="AGP39" s="4"/>
      <c r="AGQ39" s="4"/>
      <c r="AGR39" s="4"/>
      <c r="AGS39" s="4"/>
      <c r="AGT39" s="4"/>
      <c r="AGU39" s="4"/>
      <c r="AGV39" s="4"/>
      <c r="AGW39" s="4"/>
      <c r="AGX39" s="4"/>
      <c r="AGY39" s="4"/>
      <c r="AGZ39" s="4"/>
      <c r="AHA39" s="4"/>
      <c r="AHB39" s="4"/>
      <c r="AHC39" s="4"/>
      <c r="AHD39" s="4"/>
      <c r="AHE39" s="4"/>
      <c r="AHF39" s="4"/>
      <c r="AHG39" s="4"/>
      <c r="AHH39" s="4"/>
      <c r="AHI39" s="4"/>
      <c r="AHJ39" s="4"/>
      <c r="AHK39" s="4"/>
      <c r="AHL39" s="4"/>
      <c r="AHM39" s="4"/>
      <c r="AHN39" s="4"/>
      <c r="AHO39" s="4"/>
      <c r="AHP39" s="4"/>
      <c r="AHQ39" s="4"/>
      <c r="AHR39" s="4"/>
      <c r="AHS39" s="4"/>
      <c r="AHT39" s="4"/>
      <c r="AHU39" s="4"/>
      <c r="AHV39" s="4"/>
      <c r="AHW39" s="4"/>
      <c r="AHX39" s="4"/>
      <c r="AHY39" s="4"/>
      <c r="AHZ39" s="4"/>
      <c r="AIA39" s="4"/>
      <c r="AIB39" s="4"/>
      <c r="AIC39" s="4"/>
      <c r="AID39" s="4"/>
      <c r="AIE39" s="4"/>
      <c r="AIF39" s="4"/>
      <c r="AIG39" s="4"/>
      <c r="AIH39" s="4"/>
      <c r="AII39" s="4"/>
      <c r="AIJ39" s="4"/>
      <c r="AIK39" s="4"/>
      <c r="AIL39" s="4"/>
      <c r="AIM39" s="4"/>
      <c r="AIN39" s="4"/>
      <c r="AIO39" s="4"/>
      <c r="AIP39" s="4"/>
      <c r="AIQ39" s="4"/>
      <c r="AIR39" s="4"/>
      <c r="AIS39" s="4"/>
      <c r="AIT39" s="4"/>
      <c r="AIU39" s="4"/>
      <c r="AIV39" s="4"/>
      <c r="AIW39" s="4"/>
      <c r="AIX39" s="4"/>
      <c r="AIY39" s="4"/>
      <c r="AIZ39" s="4"/>
      <c r="AJA39" s="4"/>
      <c r="AJB39" s="4"/>
      <c r="AJC39" s="4"/>
      <c r="AJD39" s="4"/>
      <c r="AJE39" s="4"/>
      <c r="AJF39" s="4"/>
      <c r="AJG39" s="4"/>
      <c r="AJH39" s="4"/>
      <c r="AJI39" s="4"/>
      <c r="AJJ39" s="4"/>
      <c r="AJK39" s="4"/>
      <c r="AJL39" s="4"/>
      <c r="AJM39" s="4"/>
      <c r="AJN39" s="4"/>
      <c r="AJO39" s="4"/>
      <c r="AJP39" s="4"/>
      <c r="AJQ39" s="4"/>
      <c r="AJR39" s="4"/>
      <c r="AJS39" s="4"/>
      <c r="AJT39" s="4"/>
      <c r="AJU39" s="4"/>
      <c r="AJV39" s="4"/>
      <c r="AJW39" s="4"/>
      <c r="AJX39" s="4"/>
      <c r="AJY39" s="4"/>
      <c r="AJZ39" s="4"/>
      <c r="AKA39" s="4"/>
      <c r="AKB39" s="4"/>
      <c r="AKC39" s="4"/>
      <c r="AKD39" s="4"/>
      <c r="AKE39" s="4"/>
      <c r="AKF39" s="4"/>
      <c r="AKG39" s="4"/>
      <c r="AKH39" s="4"/>
      <c r="AKI39" s="4"/>
      <c r="AKJ39" s="4"/>
      <c r="AKK39" s="4"/>
      <c r="AKL39" s="4"/>
      <c r="AKM39" s="4"/>
      <c r="AKN39" s="4"/>
      <c r="AKO39" s="4"/>
      <c r="AKP39" s="4"/>
      <c r="AKQ39" s="4"/>
      <c r="AKR39" s="4"/>
      <c r="AKS39" s="4"/>
      <c r="AKT39" s="4"/>
      <c r="AKU39" s="4"/>
      <c r="AKV39" s="4"/>
      <c r="AKW39" s="4"/>
      <c r="AKX39" s="4"/>
      <c r="AKY39" s="4"/>
      <c r="AKZ39" s="4"/>
      <c r="ALA39" s="4"/>
      <c r="ALB39" s="4"/>
      <c r="ALC39" s="4"/>
      <c r="ALD39" s="4"/>
      <c r="ALE39" s="4"/>
      <c r="ALF39" s="4"/>
      <c r="ALG39" s="4"/>
      <c r="ALH39" s="4"/>
      <c r="ALI39" s="4"/>
      <c r="ALJ39" s="4"/>
      <c r="ALK39" s="4"/>
      <c r="ALL39" s="4"/>
      <c r="ALM39" s="4"/>
      <c r="ALN39" s="4"/>
      <c r="ALO39" s="4"/>
      <c r="ALP39" s="4"/>
      <c r="ALQ39" s="4"/>
      <c r="ALR39" s="4"/>
      <c r="ALS39" s="4"/>
      <c r="ALT39" s="4"/>
      <c r="ALU39" s="4"/>
      <c r="ALV39" s="4"/>
      <c r="ALW39" s="4"/>
      <c r="ALX39" s="4"/>
      <c r="ALY39" s="4"/>
      <c r="ALZ39" s="4"/>
      <c r="AMA39" s="4"/>
      <c r="AMB39" s="4"/>
      <c r="AMC39" s="4"/>
      <c r="AMD39" s="4"/>
      <c r="AME39" s="4"/>
    </row>
    <row r="40" spans="1:1019" x14ac:dyDescent="0.25">
      <c r="A40" s="76" t="s">
        <v>661</v>
      </c>
      <c r="B40" s="77" t="s">
        <v>93</v>
      </c>
      <c r="C40" s="360">
        <f>1/10.4</f>
        <v>9.6153846153846145E-2</v>
      </c>
      <c r="D40" s="398" t="s">
        <v>283</v>
      </c>
      <c r="E40" s="81"/>
      <c r="F40" s="81"/>
      <c r="G40" s="72"/>
      <c r="H40" s="72"/>
      <c r="I40" s="773" t="s">
        <v>60</v>
      </c>
      <c r="J40" s="773"/>
      <c r="K40" s="773"/>
      <c r="L40" s="82"/>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c r="UL40" s="4"/>
      <c r="UM40" s="4"/>
      <c r="UN40" s="4"/>
      <c r="UO40" s="4"/>
      <c r="UP40" s="4"/>
      <c r="UQ40" s="4"/>
      <c r="UR40" s="4"/>
      <c r="US40" s="4"/>
      <c r="UT40" s="4"/>
      <c r="UU40" s="4"/>
      <c r="UV40" s="4"/>
      <c r="UW40" s="4"/>
      <c r="UX40" s="4"/>
      <c r="UY40" s="4"/>
      <c r="UZ40" s="4"/>
      <c r="VA40" s="4"/>
      <c r="VB40" s="4"/>
      <c r="VC40" s="4"/>
      <c r="VD40" s="4"/>
      <c r="VE40" s="4"/>
      <c r="VF40" s="4"/>
      <c r="VG40" s="4"/>
      <c r="VH40" s="4"/>
      <c r="VI40" s="4"/>
      <c r="VJ40" s="4"/>
      <c r="VK40" s="4"/>
      <c r="VL40" s="4"/>
      <c r="VM40" s="4"/>
      <c r="VN40" s="4"/>
      <c r="VO40" s="4"/>
      <c r="VP40" s="4"/>
      <c r="VQ40" s="4"/>
      <c r="VR40" s="4"/>
      <c r="VS40" s="4"/>
      <c r="VT40" s="4"/>
      <c r="VU40" s="4"/>
      <c r="VV40" s="4"/>
      <c r="VW40" s="4"/>
      <c r="VX40" s="4"/>
      <c r="VY40" s="4"/>
      <c r="VZ40" s="4"/>
      <c r="WA40" s="4"/>
      <c r="WB40" s="4"/>
      <c r="WC40" s="4"/>
      <c r="WD40" s="4"/>
      <c r="WE40" s="4"/>
      <c r="WF40" s="4"/>
      <c r="WG40" s="4"/>
      <c r="WH40" s="4"/>
      <c r="WI40" s="4"/>
      <c r="WJ40" s="4"/>
      <c r="WK40" s="4"/>
      <c r="WL40" s="4"/>
      <c r="WM40" s="4"/>
      <c r="WN40" s="4"/>
      <c r="WO40" s="4"/>
      <c r="WP40" s="4"/>
      <c r="WQ40" s="4"/>
      <c r="WR40" s="4"/>
      <c r="WS40" s="4"/>
      <c r="WT40" s="4"/>
      <c r="WU40" s="4"/>
      <c r="WV40" s="4"/>
      <c r="WW40" s="4"/>
      <c r="WX40" s="4"/>
      <c r="WY40" s="4"/>
      <c r="WZ40" s="4"/>
      <c r="XA40" s="4"/>
      <c r="XB40" s="4"/>
      <c r="XC40" s="4"/>
      <c r="XD40" s="4"/>
      <c r="XE40" s="4"/>
      <c r="XF40" s="4"/>
      <c r="XG40" s="4"/>
      <c r="XH40" s="4"/>
      <c r="XI40" s="4"/>
      <c r="XJ40" s="4"/>
      <c r="XK40" s="4"/>
      <c r="XL40" s="4"/>
      <c r="XM40" s="4"/>
      <c r="XN40" s="4"/>
      <c r="XO40" s="4"/>
      <c r="XP40" s="4"/>
      <c r="XQ40" s="4"/>
      <c r="XR40" s="4"/>
      <c r="XS40" s="4"/>
      <c r="XT40" s="4"/>
      <c r="XU40" s="4"/>
      <c r="XV40" s="4"/>
      <c r="XW40" s="4"/>
      <c r="XX40" s="4"/>
      <c r="XY40" s="4"/>
      <c r="XZ40" s="4"/>
      <c r="YA40" s="4"/>
      <c r="YB40" s="4"/>
      <c r="YC40" s="4"/>
      <c r="YD40" s="4"/>
      <c r="YE40" s="4"/>
      <c r="YF40" s="4"/>
      <c r="YG40" s="4"/>
      <c r="YH40" s="4"/>
      <c r="YI40" s="4"/>
      <c r="YJ40" s="4"/>
      <c r="YK40" s="4"/>
      <c r="YL40" s="4"/>
      <c r="YM40" s="4"/>
      <c r="YN40" s="4"/>
      <c r="YO40" s="4"/>
      <c r="YP40" s="4"/>
      <c r="YQ40" s="4"/>
      <c r="YR40" s="4"/>
      <c r="YS40" s="4"/>
      <c r="YT40" s="4"/>
      <c r="YU40" s="4"/>
      <c r="YV40" s="4"/>
      <c r="YW40" s="4"/>
      <c r="YX40" s="4"/>
      <c r="YY40" s="4"/>
      <c r="YZ40" s="4"/>
      <c r="ZA40" s="4"/>
      <c r="ZB40" s="4"/>
      <c r="ZC40" s="4"/>
      <c r="ZD40" s="4"/>
      <c r="ZE40" s="4"/>
      <c r="ZF40" s="4"/>
      <c r="ZG40" s="4"/>
      <c r="ZH40" s="4"/>
      <c r="ZI40" s="4"/>
      <c r="ZJ40" s="4"/>
      <c r="ZK40" s="4"/>
      <c r="ZL40" s="4"/>
      <c r="ZM40" s="4"/>
      <c r="ZN40" s="4"/>
      <c r="ZO40" s="4"/>
      <c r="ZP40" s="4"/>
      <c r="ZQ40" s="4"/>
      <c r="ZR40" s="4"/>
      <c r="ZS40" s="4"/>
      <c r="ZT40" s="4"/>
      <c r="ZU40" s="4"/>
      <c r="ZV40" s="4"/>
      <c r="ZW40" s="4"/>
      <c r="ZX40" s="4"/>
      <c r="ZY40" s="4"/>
      <c r="ZZ40" s="4"/>
      <c r="AAA40" s="4"/>
      <c r="AAB40" s="4"/>
      <c r="AAC40" s="4"/>
      <c r="AAD40" s="4"/>
      <c r="AAE40" s="4"/>
      <c r="AAF40" s="4"/>
      <c r="AAG40" s="4"/>
      <c r="AAH40" s="4"/>
      <c r="AAI40" s="4"/>
      <c r="AAJ40" s="4"/>
      <c r="AAK40" s="4"/>
      <c r="AAL40" s="4"/>
      <c r="AAM40" s="4"/>
      <c r="AAN40" s="4"/>
      <c r="AAO40" s="4"/>
      <c r="AAP40" s="4"/>
      <c r="AAQ40" s="4"/>
      <c r="AAR40" s="4"/>
      <c r="AAS40" s="4"/>
      <c r="AAT40" s="4"/>
      <c r="AAU40" s="4"/>
      <c r="AAV40" s="4"/>
      <c r="AAW40" s="4"/>
      <c r="AAX40" s="4"/>
      <c r="AAY40" s="4"/>
      <c r="AAZ40" s="4"/>
      <c r="ABA40" s="4"/>
      <c r="ABB40" s="4"/>
      <c r="ABC40" s="4"/>
      <c r="ABD40" s="4"/>
      <c r="ABE40" s="4"/>
      <c r="ABF40" s="4"/>
      <c r="ABG40" s="4"/>
      <c r="ABH40" s="4"/>
      <c r="ABI40" s="4"/>
      <c r="ABJ40" s="4"/>
      <c r="ABK40" s="4"/>
      <c r="ABL40" s="4"/>
      <c r="ABM40" s="4"/>
      <c r="ABN40" s="4"/>
      <c r="ABO40" s="4"/>
      <c r="ABP40" s="4"/>
      <c r="ABQ40" s="4"/>
      <c r="ABR40" s="4"/>
      <c r="ABS40" s="4"/>
      <c r="ABT40" s="4"/>
      <c r="ABU40" s="4"/>
      <c r="ABV40" s="4"/>
      <c r="ABW40" s="4"/>
      <c r="ABX40" s="4"/>
      <c r="ABY40" s="4"/>
      <c r="ABZ40" s="4"/>
      <c r="ACA40" s="4"/>
      <c r="ACB40" s="4"/>
      <c r="ACC40" s="4"/>
      <c r="ACD40" s="4"/>
      <c r="ACE40" s="4"/>
      <c r="ACF40" s="4"/>
      <c r="ACG40" s="4"/>
      <c r="ACH40" s="4"/>
      <c r="ACI40" s="4"/>
      <c r="ACJ40" s="4"/>
      <c r="ACK40" s="4"/>
      <c r="ACL40" s="4"/>
      <c r="ACM40" s="4"/>
      <c r="ACN40" s="4"/>
      <c r="ACO40" s="4"/>
      <c r="ACP40" s="4"/>
      <c r="ACQ40" s="4"/>
      <c r="ACR40" s="4"/>
      <c r="ACS40" s="4"/>
      <c r="ACT40" s="4"/>
      <c r="ACU40" s="4"/>
      <c r="ACV40" s="4"/>
      <c r="ACW40" s="4"/>
      <c r="ACX40" s="4"/>
      <c r="ACY40" s="4"/>
      <c r="ACZ40" s="4"/>
      <c r="ADA40" s="4"/>
      <c r="ADB40" s="4"/>
      <c r="ADC40" s="4"/>
      <c r="ADD40" s="4"/>
      <c r="ADE40" s="4"/>
      <c r="ADF40" s="4"/>
      <c r="ADG40" s="4"/>
      <c r="ADH40" s="4"/>
      <c r="ADI40" s="4"/>
      <c r="ADJ40" s="4"/>
      <c r="ADK40" s="4"/>
      <c r="ADL40" s="4"/>
      <c r="ADM40" s="4"/>
      <c r="ADN40" s="4"/>
      <c r="ADO40" s="4"/>
      <c r="ADP40" s="4"/>
      <c r="ADQ40" s="4"/>
      <c r="ADR40" s="4"/>
      <c r="ADS40" s="4"/>
      <c r="ADT40" s="4"/>
      <c r="ADU40" s="4"/>
      <c r="ADV40" s="4"/>
      <c r="ADW40" s="4"/>
      <c r="ADX40" s="4"/>
      <c r="ADY40" s="4"/>
      <c r="ADZ40" s="4"/>
      <c r="AEA40" s="4"/>
      <c r="AEB40" s="4"/>
      <c r="AEC40" s="4"/>
      <c r="AED40" s="4"/>
      <c r="AEE40" s="4"/>
      <c r="AEF40" s="4"/>
      <c r="AEG40" s="4"/>
      <c r="AEH40" s="4"/>
      <c r="AEI40" s="4"/>
      <c r="AEJ40" s="4"/>
      <c r="AEK40" s="4"/>
      <c r="AEL40" s="4"/>
      <c r="AEM40" s="4"/>
      <c r="AEN40" s="4"/>
      <c r="AEO40" s="4"/>
      <c r="AEP40" s="4"/>
      <c r="AEQ40" s="4"/>
      <c r="AER40" s="4"/>
      <c r="AES40" s="4"/>
      <c r="AET40" s="4"/>
      <c r="AEU40" s="4"/>
      <c r="AEV40" s="4"/>
      <c r="AEW40" s="4"/>
      <c r="AEX40" s="4"/>
      <c r="AEY40" s="4"/>
      <c r="AEZ40" s="4"/>
      <c r="AFA40" s="4"/>
      <c r="AFB40" s="4"/>
      <c r="AFC40" s="4"/>
      <c r="AFD40" s="4"/>
      <c r="AFE40" s="4"/>
      <c r="AFF40" s="4"/>
      <c r="AFG40" s="4"/>
      <c r="AFH40" s="4"/>
      <c r="AFI40" s="4"/>
      <c r="AFJ40" s="4"/>
      <c r="AFK40" s="4"/>
      <c r="AFL40" s="4"/>
      <c r="AFM40" s="4"/>
      <c r="AFN40" s="4"/>
      <c r="AFO40" s="4"/>
      <c r="AFP40" s="4"/>
      <c r="AFQ40" s="4"/>
      <c r="AFR40" s="4"/>
      <c r="AFS40" s="4"/>
      <c r="AFT40" s="4"/>
      <c r="AFU40" s="4"/>
      <c r="AFV40" s="4"/>
      <c r="AFW40" s="4"/>
      <c r="AFX40" s="4"/>
      <c r="AFY40" s="4"/>
      <c r="AFZ40" s="4"/>
      <c r="AGA40" s="4"/>
      <c r="AGB40" s="4"/>
      <c r="AGC40" s="4"/>
      <c r="AGD40" s="4"/>
      <c r="AGE40" s="4"/>
      <c r="AGF40" s="4"/>
      <c r="AGG40" s="4"/>
      <c r="AGH40" s="4"/>
      <c r="AGI40" s="4"/>
      <c r="AGJ40" s="4"/>
      <c r="AGK40" s="4"/>
      <c r="AGL40" s="4"/>
      <c r="AGM40" s="4"/>
      <c r="AGN40" s="4"/>
      <c r="AGO40" s="4"/>
      <c r="AGP40" s="4"/>
      <c r="AGQ40" s="4"/>
      <c r="AGR40" s="4"/>
      <c r="AGS40" s="4"/>
      <c r="AGT40" s="4"/>
      <c r="AGU40" s="4"/>
      <c r="AGV40" s="4"/>
      <c r="AGW40" s="4"/>
      <c r="AGX40" s="4"/>
      <c r="AGY40" s="4"/>
      <c r="AGZ40" s="4"/>
      <c r="AHA40" s="4"/>
      <c r="AHB40" s="4"/>
      <c r="AHC40" s="4"/>
      <c r="AHD40" s="4"/>
      <c r="AHE40" s="4"/>
      <c r="AHF40" s="4"/>
      <c r="AHG40" s="4"/>
      <c r="AHH40" s="4"/>
      <c r="AHI40" s="4"/>
      <c r="AHJ40" s="4"/>
      <c r="AHK40" s="4"/>
      <c r="AHL40" s="4"/>
      <c r="AHM40" s="4"/>
      <c r="AHN40" s="4"/>
      <c r="AHO40" s="4"/>
      <c r="AHP40" s="4"/>
      <c r="AHQ40" s="4"/>
      <c r="AHR40" s="4"/>
      <c r="AHS40" s="4"/>
      <c r="AHT40" s="4"/>
      <c r="AHU40" s="4"/>
      <c r="AHV40" s="4"/>
      <c r="AHW40" s="4"/>
      <c r="AHX40" s="4"/>
      <c r="AHY40" s="4"/>
      <c r="AHZ40" s="4"/>
      <c r="AIA40" s="4"/>
      <c r="AIB40" s="4"/>
      <c r="AIC40" s="4"/>
      <c r="AID40" s="4"/>
      <c r="AIE40" s="4"/>
      <c r="AIF40" s="4"/>
      <c r="AIG40" s="4"/>
      <c r="AIH40" s="4"/>
      <c r="AII40" s="4"/>
      <c r="AIJ40" s="4"/>
      <c r="AIK40" s="4"/>
      <c r="AIL40" s="4"/>
      <c r="AIM40" s="4"/>
      <c r="AIN40" s="4"/>
      <c r="AIO40" s="4"/>
      <c r="AIP40" s="4"/>
      <c r="AIQ40" s="4"/>
      <c r="AIR40" s="4"/>
      <c r="AIS40" s="4"/>
      <c r="AIT40" s="4"/>
      <c r="AIU40" s="4"/>
      <c r="AIV40" s="4"/>
      <c r="AIW40" s="4"/>
      <c r="AIX40" s="4"/>
      <c r="AIY40" s="4"/>
      <c r="AIZ40" s="4"/>
      <c r="AJA40" s="4"/>
      <c r="AJB40" s="4"/>
      <c r="AJC40" s="4"/>
      <c r="AJD40" s="4"/>
      <c r="AJE40" s="4"/>
      <c r="AJF40" s="4"/>
      <c r="AJG40" s="4"/>
      <c r="AJH40" s="4"/>
      <c r="AJI40" s="4"/>
      <c r="AJJ40" s="4"/>
      <c r="AJK40" s="4"/>
      <c r="AJL40" s="4"/>
      <c r="AJM40" s="4"/>
      <c r="AJN40" s="4"/>
      <c r="AJO40" s="4"/>
      <c r="AJP40" s="4"/>
      <c r="AJQ40" s="4"/>
      <c r="AJR40" s="4"/>
      <c r="AJS40" s="4"/>
      <c r="AJT40" s="4"/>
      <c r="AJU40" s="4"/>
      <c r="AJV40" s="4"/>
      <c r="AJW40" s="4"/>
      <c r="AJX40" s="4"/>
      <c r="AJY40" s="4"/>
      <c r="AJZ40" s="4"/>
      <c r="AKA40" s="4"/>
      <c r="AKB40" s="4"/>
      <c r="AKC40" s="4"/>
      <c r="AKD40" s="4"/>
      <c r="AKE40" s="4"/>
      <c r="AKF40" s="4"/>
      <c r="AKG40" s="4"/>
      <c r="AKH40" s="4"/>
      <c r="AKI40" s="4"/>
      <c r="AKJ40" s="4"/>
      <c r="AKK40" s="4"/>
      <c r="AKL40" s="4"/>
      <c r="AKM40" s="4"/>
      <c r="AKN40" s="4"/>
      <c r="AKO40" s="4"/>
      <c r="AKP40" s="4"/>
      <c r="AKQ40" s="4"/>
      <c r="AKR40" s="4"/>
      <c r="AKS40" s="4"/>
      <c r="AKT40" s="4"/>
      <c r="AKU40" s="4"/>
      <c r="AKV40" s="4"/>
      <c r="AKW40" s="4"/>
      <c r="AKX40" s="4"/>
      <c r="AKY40" s="4"/>
      <c r="AKZ40" s="4"/>
      <c r="ALA40" s="4"/>
      <c r="ALB40" s="4"/>
      <c r="ALC40" s="4"/>
      <c r="ALD40" s="4"/>
      <c r="ALE40" s="4"/>
      <c r="ALF40" s="4"/>
      <c r="ALG40" s="4"/>
      <c r="ALH40" s="4"/>
      <c r="ALI40" s="4"/>
      <c r="ALJ40" s="4"/>
      <c r="ALK40" s="4"/>
      <c r="ALL40" s="4"/>
      <c r="ALM40" s="4"/>
      <c r="ALN40" s="4"/>
      <c r="ALO40" s="4"/>
      <c r="ALP40" s="4"/>
      <c r="ALQ40" s="4"/>
      <c r="ALR40" s="4"/>
      <c r="ALS40" s="4"/>
      <c r="ALT40" s="4"/>
      <c r="ALU40" s="4"/>
      <c r="ALV40" s="4"/>
      <c r="ALW40" s="4"/>
      <c r="ALX40" s="4"/>
      <c r="ALY40" s="4"/>
      <c r="ALZ40" s="4"/>
      <c r="AMA40" s="4"/>
      <c r="AMB40" s="4"/>
      <c r="AMC40" s="4"/>
      <c r="AMD40" s="4"/>
      <c r="AME40" s="4"/>
    </row>
    <row r="41" spans="1:1019" ht="14.45" customHeight="1" x14ac:dyDescent="0.25">
      <c r="A41" s="399"/>
      <c r="B41" s="71"/>
      <c r="C41" s="400"/>
      <c r="D41" s="358"/>
      <c r="E41" s="358"/>
      <c r="F41" s="81"/>
      <c r="G41" s="358"/>
      <c r="H41" s="358"/>
      <c r="I41" s="774"/>
      <c r="J41" s="774"/>
      <c r="K41" s="774"/>
      <c r="L41" s="82"/>
    </row>
    <row r="42" spans="1:1019" ht="14.45" customHeight="1" x14ac:dyDescent="0.25">
      <c r="A42" s="780" t="s">
        <v>766</v>
      </c>
      <c r="B42" s="780"/>
      <c r="C42" s="780"/>
      <c r="D42" s="780"/>
      <c r="E42" s="780"/>
      <c r="F42" s="780"/>
      <c r="G42" s="780"/>
      <c r="H42" s="780"/>
      <c r="I42" s="774"/>
      <c r="J42" s="774"/>
      <c r="K42" s="774"/>
      <c r="L42" s="72"/>
    </row>
    <row r="43" spans="1:1019" ht="28.9" customHeight="1" x14ac:dyDescent="0.25">
      <c r="A43" s="780"/>
      <c r="B43" s="780"/>
      <c r="C43" s="780"/>
      <c r="D43" s="780"/>
      <c r="E43" s="780"/>
      <c r="F43" s="780"/>
      <c r="G43" s="780"/>
      <c r="H43" s="780"/>
      <c r="I43" s="774"/>
      <c r="J43" s="774"/>
      <c r="K43" s="774"/>
      <c r="L43" s="72"/>
    </row>
    <row r="44" spans="1:1019" x14ac:dyDescent="0.25">
      <c r="A44" s="780"/>
      <c r="B44" s="780"/>
      <c r="C44" s="780"/>
      <c r="D44" s="780"/>
      <c r="E44" s="780"/>
      <c r="F44" s="780"/>
      <c r="G44" s="780"/>
      <c r="H44" s="780"/>
      <c r="I44" s="292"/>
      <c r="J44" s="292"/>
      <c r="K44" s="292"/>
      <c r="L44" s="72"/>
    </row>
    <row r="45" spans="1:1019" x14ac:dyDescent="0.25">
      <c r="A45" s="358"/>
      <c r="B45" s="358"/>
      <c r="C45" s="358"/>
      <c r="D45" s="358"/>
      <c r="E45" s="358"/>
      <c r="F45" s="358"/>
      <c r="G45" s="291" t="s">
        <v>37</v>
      </c>
      <c r="H45" s="72"/>
      <c r="I45" s="292"/>
      <c r="J45" s="292"/>
      <c r="K45" s="292"/>
      <c r="L45" s="72"/>
    </row>
    <row r="46" spans="1:1019" x14ac:dyDescent="0.25">
      <c r="A46" s="72"/>
      <c r="B46" s="72"/>
      <c r="C46" s="72"/>
      <c r="D46" s="358"/>
      <c r="E46" s="358"/>
      <c r="F46" s="358"/>
      <c r="G46" s="73"/>
      <c r="H46" s="70"/>
      <c r="I46" s="70"/>
      <c r="J46" s="70"/>
      <c r="K46" s="70"/>
      <c r="L46" s="70"/>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c r="UL46" s="4"/>
      <c r="UM46" s="4"/>
      <c r="UN46" s="4"/>
      <c r="UO46" s="4"/>
      <c r="UP46" s="4"/>
      <c r="UQ46" s="4"/>
      <c r="UR46" s="4"/>
      <c r="US46" s="4"/>
      <c r="UT46" s="4"/>
      <c r="UU46" s="4"/>
      <c r="UV46" s="4"/>
      <c r="UW46" s="4"/>
      <c r="UX46" s="4"/>
      <c r="UY46" s="4"/>
      <c r="UZ46" s="4"/>
      <c r="VA46" s="4"/>
      <c r="VB46" s="4"/>
      <c r="VC46" s="4"/>
      <c r="VD46" s="4"/>
      <c r="VE46" s="4"/>
      <c r="VF46" s="4"/>
      <c r="VG46" s="4"/>
      <c r="VH46" s="4"/>
      <c r="VI46" s="4"/>
      <c r="VJ46" s="4"/>
      <c r="VK46" s="4"/>
      <c r="VL46" s="4"/>
      <c r="VM46" s="4"/>
      <c r="VN46" s="4"/>
      <c r="VO46" s="4"/>
      <c r="VP46" s="4"/>
      <c r="VQ46" s="4"/>
      <c r="VR46" s="4"/>
      <c r="VS46" s="4"/>
      <c r="VT46" s="4"/>
      <c r="VU46" s="4"/>
      <c r="VV46" s="4"/>
      <c r="VW46" s="4"/>
      <c r="VX46" s="4"/>
      <c r="VY46" s="4"/>
      <c r="VZ46" s="4"/>
      <c r="WA46" s="4"/>
      <c r="WB46" s="4"/>
      <c r="WC46" s="4"/>
      <c r="WD46" s="4"/>
      <c r="WE46" s="4"/>
      <c r="WF46" s="4"/>
      <c r="WG46" s="4"/>
      <c r="WH46" s="4"/>
      <c r="WI46" s="4"/>
      <c r="WJ46" s="4"/>
      <c r="WK46" s="4"/>
      <c r="WL46" s="4"/>
      <c r="WM46" s="4"/>
      <c r="WN46" s="4"/>
      <c r="WO46" s="4"/>
      <c r="WP46" s="4"/>
      <c r="WQ46" s="4"/>
      <c r="WR46" s="4"/>
      <c r="WS46" s="4"/>
      <c r="WT46" s="4"/>
      <c r="WU46" s="4"/>
      <c r="WV46" s="4"/>
      <c r="WW46" s="4"/>
      <c r="WX46" s="4"/>
      <c r="WY46" s="4"/>
      <c r="WZ46" s="4"/>
      <c r="XA46" s="4"/>
      <c r="XB46" s="4"/>
      <c r="XC46" s="4"/>
      <c r="XD46" s="4"/>
      <c r="XE46" s="4"/>
      <c r="XF46" s="4"/>
      <c r="XG46" s="4"/>
      <c r="XH46" s="4"/>
      <c r="XI46" s="4"/>
      <c r="XJ46" s="4"/>
      <c r="XK46" s="4"/>
      <c r="XL46" s="4"/>
      <c r="XM46" s="4"/>
      <c r="XN46" s="4"/>
      <c r="XO46" s="4"/>
      <c r="XP46" s="4"/>
      <c r="XQ46" s="4"/>
      <c r="XR46" s="4"/>
      <c r="XS46" s="4"/>
      <c r="XT46" s="4"/>
      <c r="XU46" s="4"/>
      <c r="XV46" s="4"/>
      <c r="XW46" s="4"/>
      <c r="XX46" s="4"/>
      <c r="XY46" s="4"/>
      <c r="XZ46" s="4"/>
      <c r="YA46" s="4"/>
      <c r="YB46" s="4"/>
      <c r="YC46" s="4"/>
      <c r="YD46" s="4"/>
      <c r="YE46" s="4"/>
      <c r="YF46" s="4"/>
      <c r="YG46" s="4"/>
      <c r="YH46" s="4"/>
      <c r="YI46" s="4"/>
      <c r="YJ46" s="4"/>
      <c r="YK46" s="4"/>
      <c r="YL46" s="4"/>
      <c r="YM46" s="4"/>
      <c r="YN46" s="4"/>
      <c r="YO46" s="4"/>
      <c r="YP46" s="4"/>
      <c r="YQ46" s="4"/>
      <c r="YR46" s="4"/>
      <c r="YS46" s="4"/>
      <c r="YT46" s="4"/>
      <c r="YU46" s="4"/>
      <c r="YV46" s="4"/>
      <c r="YW46" s="4"/>
      <c r="YX46" s="4"/>
      <c r="YY46" s="4"/>
      <c r="YZ46" s="4"/>
      <c r="ZA46" s="4"/>
      <c r="ZB46" s="4"/>
      <c r="ZC46" s="4"/>
      <c r="ZD46" s="4"/>
      <c r="ZE46" s="4"/>
      <c r="ZF46" s="4"/>
      <c r="ZG46" s="4"/>
      <c r="ZH46" s="4"/>
      <c r="ZI46" s="4"/>
      <c r="ZJ46" s="4"/>
      <c r="ZK46" s="4"/>
      <c r="ZL46" s="4"/>
      <c r="ZM46" s="4"/>
      <c r="ZN46" s="4"/>
      <c r="ZO46" s="4"/>
      <c r="ZP46" s="4"/>
      <c r="ZQ46" s="4"/>
      <c r="ZR46" s="4"/>
      <c r="ZS46" s="4"/>
      <c r="ZT46" s="4"/>
      <c r="ZU46" s="4"/>
      <c r="ZV46" s="4"/>
      <c r="ZW46" s="4"/>
      <c r="ZX46" s="4"/>
      <c r="ZY46" s="4"/>
      <c r="ZZ46" s="4"/>
      <c r="AAA46" s="4"/>
      <c r="AAB46" s="4"/>
      <c r="AAC46" s="4"/>
      <c r="AAD46" s="4"/>
      <c r="AAE46" s="4"/>
      <c r="AAF46" s="4"/>
      <c r="AAG46" s="4"/>
      <c r="AAH46" s="4"/>
      <c r="AAI46" s="4"/>
      <c r="AAJ46" s="4"/>
      <c r="AAK46" s="4"/>
      <c r="AAL46" s="4"/>
      <c r="AAM46" s="4"/>
      <c r="AAN46" s="4"/>
      <c r="AAO46" s="4"/>
      <c r="AAP46" s="4"/>
      <c r="AAQ46" s="4"/>
      <c r="AAR46" s="4"/>
      <c r="AAS46" s="4"/>
      <c r="AAT46" s="4"/>
      <c r="AAU46" s="4"/>
      <c r="AAV46" s="4"/>
      <c r="AAW46" s="4"/>
      <c r="AAX46" s="4"/>
      <c r="AAY46" s="4"/>
      <c r="AAZ46" s="4"/>
      <c r="ABA46" s="4"/>
      <c r="ABB46" s="4"/>
      <c r="ABC46" s="4"/>
      <c r="ABD46" s="4"/>
      <c r="ABE46" s="4"/>
      <c r="ABF46" s="4"/>
      <c r="ABG46" s="4"/>
      <c r="ABH46" s="4"/>
      <c r="ABI46" s="4"/>
      <c r="ABJ46" s="4"/>
      <c r="ABK46" s="4"/>
      <c r="ABL46" s="4"/>
      <c r="ABM46" s="4"/>
      <c r="ABN46" s="4"/>
      <c r="ABO46" s="4"/>
      <c r="ABP46" s="4"/>
      <c r="ABQ46" s="4"/>
      <c r="ABR46" s="4"/>
      <c r="ABS46" s="4"/>
      <c r="ABT46" s="4"/>
      <c r="ABU46" s="4"/>
      <c r="ABV46" s="4"/>
      <c r="ABW46" s="4"/>
      <c r="ABX46" s="4"/>
      <c r="ABY46" s="4"/>
      <c r="ABZ46" s="4"/>
      <c r="ACA46" s="4"/>
      <c r="ACB46" s="4"/>
      <c r="ACC46" s="4"/>
      <c r="ACD46" s="4"/>
      <c r="ACE46" s="4"/>
      <c r="ACF46" s="4"/>
      <c r="ACG46" s="4"/>
      <c r="ACH46" s="4"/>
      <c r="ACI46" s="4"/>
      <c r="ACJ46" s="4"/>
      <c r="ACK46" s="4"/>
      <c r="ACL46" s="4"/>
      <c r="ACM46" s="4"/>
      <c r="ACN46" s="4"/>
      <c r="ACO46" s="4"/>
      <c r="ACP46" s="4"/>
      <c r="ACQ46" s="4"/>
      <c r="ACR46" s="4"/>
      <c r="ACS46" s="4"/>
      <c r="ACT46" s="4"/>
      <c r="ACU46" s="4"/>
      <c r="ACV46" s="4"/>
      <c r="ACW46" s="4"/>
      <c r="ACX46" s="4"/>
      <c r="ACY46" s="4"/>
      <c r="ACZ46" s="4"/>
      <c r="ADA46" s="4"/>
      <c r="ADB46" s="4"/>
      <c r="ADC46" s="4"/>
      <c r="ADD46" s="4"/>
      <c r="ADE46" s="4"/>
      <c r="ADF46" s="4"/>
      <c r="ADG46" s="4"/>
      <c r="ADH46" s="4"/>
      <c r="ADI46" s="4"/>
      <c r="ADJ46" s="4"/>
      <c r="ADK46" s="4"/>
      <c r="ADL46" s="4"/>
      <c r="ADM46" s="4"/>
      <c r="ADN46" s="4"/>
      <c r="ADO46" s="4"/>
      <c r="ADP46" s="4"/>
      <c r="ADQ46" s="4"/>
      <c r="ADR46" s="4"/>
      <c r="ADS46" s="4"/>
      <c r="ADT46" s="4"/>
      <c r="ADU46" s="4"/>
      <c r="ADV46" s="4"/>
      <c r="ADW46" s="4"/>
      <c r="ADX46" s="4"/>
      <c r="ADY46" s="4"/>
      <c r="ADZ46" s="4"/>
      <c r="AEA46" s="4"/>
      <c r="AEB46" s="4"/>
      <c r="AEC46" s="4"/>
      <c r="AED46" s="4"/>
      <c r="AEE46" s="4"/>
      <c r="AEF46" s="4"/>
      <c r="AEG46" s="4"/>
      <c r="AEH46" s="4"/>
      <c r="AEI46" s="4"/>
      <c r="AEJ46" s="4"/>
      <c r="AEK46" s="4"/>
      <c r="AEL46" s="4"/>
      <c r="AEM46" s="4"/>
      <c r="AEN46" s="4"/>
      <c r="AEO46" s="4"/>
      <c r="AEP46" s="4"/>
      <c r="AEQ46" s="4"/>
      <c r="AER46" s="4"/>
      <c r="AES46" s="4"/>
      <c r="AET46" s="4"/>
      <c r="AEU46" s="4"/>
      <c r="AEV46" s="4"/>
      <c r="AEW46" s="4"/>
      <c r="AEX46" s="4"/>
      <c r="AEY46" s="4"/>
      <c r="AEZ46" s="4"/>
      <c r="AFA46" s="4"/>
      <c r="AFB46" s="4"/>
      <c r="AFC46" s="4"/>
      <c r="AFD46" s="4"/>
      <c r="AFE46" s="4"/>
      <c r="AFF46" s="4"/>
      <c r="AFG46" s="4"/>
      <c r="AFH46" s="4"/>
      <c r="AFI46" s="4"/>
      <c r="AFJ46" s="4"/>
      <c r="AFK46" s="4"/>
      <c r="AFL46" s="4"/>
      <c r="AFM46" s="4"/>
      <c r="AFN46" s="4"/>
      <c r="AFO46" s="4"/>
      <c r="AFP46" s="4"/>
      <c r="AFQ46" s="4"/>
      <c r="AFR46" s="4"/>
      <c r="AFS46" s="4"/>
      <c r="AFT46" s="4"/>
      <c r="AFU46" s="4"/>
      <c r="AFV46" s="4"/>
      <c r="AFW46" s="4"/>
      <c r="AFX46" s="4"/>
      <c r="AFY46" s="4"/>
      <c r="AFZ46" s="4"/>
      <c r="AGA46" s="4"/>
      <c r="AGB46" s="4"/>
      <c r="AGC46" s="4"/>
      <c r="AGD46" s="4"/>
      <c r="AGE46" s="4"/>
      <c r="AGF46" s="4"/>
      <c r="AGG46" s="4"/>
      <c r="AGH46" s="4"/>
      <c r="AGI46" s="4"/>
      <c r="AGJ46" s="4"/>
      <c r="AGK46" s="4"/>
      <c r="AGL46" s="4"/>
      <c r="AGM46" s="4"/>
      <c r="AGN46" s="4"/>
      <c r="AGO46" s="4"/>
      <c r="AGP46" s="4"/>
      <c r="AGQ46" s="4"/>
      <c r="AGR46" s="4"/>
      <c r="AGS46" s="4"/>
      <c r="AGT46" s="4"/>
      <c r="AGU46" s="4"/>
      <c r="AGV46" s="4"/>
      <c r="AGW46" s="4"/>
      <c r="AGX46" s="4"/>
      <c r="AGY46" s="4"/>
      <c r="AGZ46" s="4"/>
      <c r="AHA46" s="4"/>
      <c r="AHB46" s="4"/>
      <c r="AHC46" s="4"/>
      <c r="AHD46" s="4"/>
      <c r="AHE46" s="4"/>
      <c r="AHF46" s="4"/>
      <c r="AHG46" s="4"/>
      <c r="AHH46" s="4"/>
      <c r="AHI46" s="4"/>
      <c r="AHJ46" s="4"/>
      <c r="AHK46" s="4"/>
      <c r="AHL46" s="4"/>
      <c r="AHM46" s="4"/>
      <c r="AHN46" s="4"/>
      <c r="AHO46" s="4"/>
      <c r="AHP46" s="4"/>
      <c r="AHQ46" s="4"/>
      <c r="AHR46" s="4"/>
      <c r="AHS46" s="4"/>
      <c r="AHT46" s="4"/>
      <c r="AHU46" s="4"/>
      <c r="AHV46" s="4"/>
      <c r="AHW46" s="4"/>
      <c r="AHX46" s="4"/>
      <c r="AHY46" s="4"/>
      <c r="AHZ46" s="4"/>
      <c r="AIA46" s="4"/>
      <c r="AIB46" s="4"/>
      <c r="AIC46" s="4"/>
      <c r="AID46" s="4"/>
      <c r="AIE46" s="4"/>
      <c r="AIF46" s="4"/>
      <c r="AIG46" s="4"/>
      <c r="AIH46" s="4"/>
      <c r="AII46" s="4"/>
      <c r="AIJ46" s="4"/>
      <c r="AIK46" s="4"/>
      <c r="AIL46" s="4"/>
      <c r="AIM46" s="4"/>
      <c r="AIN46" s="4"/>
      <c r="AIO46" s="4"/>
      <c r="AIP46" s="4"/>
      <c r="AIQ46" s="4"/>
      <c r="AIR46" s="4"/>
      <c r="AIS46" s="4"/>
      <c r="AIT46" s="4"/>
      <c r="AIU46" s="4"/>
      <c r="AIV46" s="4"/>
      <c r="AIW46" s="4"/>
      <c r="AIX46" s="4"/>
      <c r="AIY46" s="4"/>
      <c r="AIZ46" s="4"/>
      <c r="AJA46" s="4"/>
      <c r="AJB46" s="4"/>
      <c r="AJC46" s="4"/>
      <c r="AJD46" s="4"/>
      <c r="AJE46" s="4"/>
      <c r="AJF46" s="4"/>
      <c r="AJG46" s="4"/>
      <c r="AJH46" s="4"/>
      <c r="AJI46" s="4"/>
      <c r="AJJ46" s="4"/>
      <c r="AJK46" s="4"/>
      <c r="AJL46" s="4"/>
      <c r="AJM46" s="4"/>
      <c r="AJN46" s="4"/>
      <c r="AJO46" s="4"/>
      <c r="AJP46" s="4"/>
      <c r="AJQ46" s="4"/>
      <c r="AJR46" s="4"/>
      <c r="AJS46" s="4"/>
      <c r="AJT46" s="4"/>
      <c r="AJU46" s="4"/>
      <c r="AJV46" s="4"/>
      <c r="AJW46" s="4"/>
      <c r="AJX46" s="4"/>
      <c r="AJY46" s="4"/>
      <c r="AJZ46" s="4"/>
      <c r="AKA46" s="4"/>
      <c r="AKB46" s="4"/>
      <c r="AKC46" s="4"/>
      <c r="AKD46" s="4"/>
      <c r="AKE46" s="4"/>
      <c r="AKF46" s="4"/>
      <c r="AKG46" s="4"/>
      <c r="AKH46" s="4"/>
      <c r="AKI46" s="4"/>
      <c r="AKJ46" s="4"/>
      <c r="AKK46" s="4"/>
      <c r="AKL46" s="4"/>
      <c r="AKM46" s="4"/>
      <c r="AKN46" s="4"/>
      <c r="AKO46" s="4"/>
      <c r="AKP46" s="4"/>
      <c r="AKQ46" s="4"/>
      <c r="AKR46" s="4"/>
      <c r="AKS46" s="4"/>
      <c r="AKT46" s="4"/>
      <c r="AKU46" s="4"/>
      <c r="AKV46" s="4"/>
      <c r="AKW46" s="4"/>
      <c r="AKX46" s="4"/>
      <c r="AKY46" s="4"/>
      <c r="AKZ46" s="4"/>
      <c r="ALA46" s="4"/>
      <c r="ALB46" s="4"/>
      <c r="ALC46" s="4"/>
      <c r="ALD46" s="4"/>
      <c r="ALE46" s="4"/>
      <c r="ALF46" s="4"/>
      <c r="ALG46" s="4"/>
      <c r="ALH46" s="4"/>
      <c r="ALI46" s="4"/>
      <c r="ALJ46" s="4"/>
      <c r="ALK46" s="4"/>
      <c r="ALL46" s="4"/>
      <c r="ALM46" s="4"/>
      <c r="ALN46" s="4"/>
      <c r="ALO46" s="4"/>
      <c r="ALP46" s="4"/>
      <c r="ALQ46" s="4"/>
      <c r="ALR46" s="4"/>
      <c r="ALS46" s="4"/>
      <c r="ALT46" s="4"/>
      <c r="ALU46" s="4"/>
      <c r="ALV46" s="4"/>
      <c r="ALW46" s="4"/>
      <c r="ALX46" s="4"/>
      <c r="ALY46" s="4"/>
      <c r="ALZ46" s="4"/>
      <c r="AMA46" s="4"/>
      <c r="AMB46" s="4"/>
      <c r="AMC46" s="4"/>
      <c r="AMD46" s="4"/>
      <c r="AME46" s="4"/>
    </row>
    <row r="47" spans="1:1019" ht="31.9" customHeight="1" x14ac:dyDescent="0.25">
      <c r="A47" s="72"/>
      <c r="B47" s="70"/>
      <c r="C47" s="70"/>
      <c r="D47" s="72"/>
      <c r="E47" s="72"/>
      <c r="F47" s="73"/>
      <c r="G47" s="72"/>
      <c r="H47" s="73"/>
      <c r="I47" s="73"/>
      <c r="J47" s="72"/>
      <c r="K47" s="72"/>
      <c r="L47" s="72"/>
    </row>
    <row r="48" spans="1:1019" ht="70.150000000000006" customHeight="1" x14ac:dyDescent="0.25">
      <c r="A48" s="775" t="s">
        <v>746</v>
      </c>
      <c r="B48" s="776"/>
      <c r="C48" s="777"/>
      <c r="D48" s="83" t="s">
        <v>1</v>
      </c>
      <c r="E48" s="83" t="s">
        <v>30</v>
      </c>
      <c r="F48" s="83" t="s">
        <v>754</v>
      </c>
      <c r="G48" s="72"/>
      <c r="H48" s="405" t="s">
        <v>767</v>
      </c>
      <c r="I48" s="290" t="s">
        <v>729</v>
      </c>
      <c r="J48" s="290" t="s">
        <v>49</v>
      </c>
      <c r="K48" s="84" t="s">
        <v>15</v>
      </c>
      <c r="L48" s="72"/>
    </row>
    <row r="49" spans="1:1019" ht="15" customHeight="1" x14ac:dyDescent="0.25">
      <c r="A49" s="85"/>
      <c r="B49" s="79"/>
      <c r="C49" s="76"/>
      <c r="D49" s="86"/>
      <c r="E49" s="77"/>
      <c r="F49" s="77"/>
      <c r="G49" s="72"/>
      <c r="H49" s="406"/>
      <c r="I49" s="83"/>
      <c r="J49" s="83"/>
      <c r="K49" s="83"/>
      <c r="L49" s="72"/>
    </row>
    <row r="50" spans="1:1019" ht="15" customHeight="1" x14ac:dyDescent="0.25">
      <c r="A50" s="87" t="s">
        <v>632</v>
      </c>
      <c r="B50" s="79"/>
      <c r="C50" s="76"/>
      <c r="D50" s="86" t="s">
        <v>43</v>
      </c>
      <c r="E50" s="77">
        <f t="shared" ref="E50:E52" si="2">1/2000</f>
        <v>5.0000000000000001E-4</v>
      </c>
      <c r="F50" s="77">
        <v>500</v>
      </c>
      <c r="G50" s="72"/>
      <c r="H50" s="76" t="s">
        <v>59</v>
      </c>
      <c r="I50" s="77" t="s">
        <v>35</v>
      </c>
      <c r="J50" s="77" t="s">
        <v>35</v>
      </c>
      <c r="K50" s="77">
        <v>0.15</v>
      </c>
      <c r="L50" s="72"/>
    </row>
    <row r="51" spans="1:1019" ht="15" customHeight="1" x14ac:dyDescent="0.25">
      <c r="A51" s="87" t="s">
        <v>633</v>
      </c>
      <c r="B51" s="79"/>
      <c r="C51" s="76"/>
      <c r="D51" s="86" t="s">
        <v>43</v>
      </c>
      <c r="E51" s="77">
        <f t="shared" si="2"/>
        <v>5.0000000000000001E-4</v>
      </c>
      <c r="F51" s="77">
        <v>25</v>
      </c>
      <c r="G51" s="72"/>
      <c r="H51" s="76" t="s">
        <v>58</v>
      </c>
      <c r="I51" s="77">
        <f>ROUND(0.2*J51+0.8*K51,4)</f>
        <v>4.7999999999999996E-3</v>
      </c>
      <c r="J51" s="77">
        <f>ROUND(0.139/0.127*K51,4)</f>
        <v>5.1000000000000004E-3</v>
      </c>
      <c r="K51" s="77">
        <v>4.7000000000000002E-3</v>
      </c>
      <c r="L51" s="72"/>
    </row>
    <row r="52" spans="1:1019" ht="15" customHeight="1" x14ac:dyDescent="0.25">
      <c r="A52" s="87" t="s">
        <v>634</v>
      </c>
      <c r="B52" s="79"/>
      <c r="C52" s="76"/>
      <c r="D52" s="86" t="s">
        <v>43</v>
      </c>
      <c r="E52" s="77">
        <f t="shared" si="2"/>
        <v>5.0000000000000001E-4</v>
      </c>
      <c r="F52" s="77">
        <v>25</v>
      </c>
      <c r="G52" s="72"/>
      <c r="H52" s="76" t="s">
        <v>670</v>
      </c>
      <c r="I52" s="359">
        <f t="shared" ref="I52" si="3">ROUND(0.2*J52+0.8*K52,4)</f>
        <v>1.5699999999999999E-2</v>
      </c>
      <c r="J52" s="359">
        <f>ROUND(0.139/0.127*K52,3)</f>
        <v>1.7000000000000001E-2</v>
      </c>
      <c r="K52" s="359">
        <f>1/65.2</f>
        <v>1.5337423312883436E-2</v>
      </c>
      <c r="L52" s="72"/>
    </row>
    <row r="53" spans="1:1019" ht="15" customHeight="1" x14ac:dyDescent="0.25">
      <c r="A53" s="87" t="s">
        <v>635</v>
      </c>
      <c r="B53" s="79"/>
      <c r="C53" s="76"/>
      <c r="D53" s="86" t="s">
        <v>43</v>
      </c>
      <c r="E53" s="77">
        <f t="shared" ref="E53:E58" si="4">1/2000</f>
        <v>5.0000000000000001E-4</v>
      </c>
      <c r="F53" s="77">
        <v>500</v>
      </c>
      <c r="G53" s="72"/>
      <c r="H53" s="76" t="s">
        <v>28</v>
      </c>
      <c r="I53" s="77">
        <f t="shared" ref="I53" si="5">ROUND(0.2*J53+0.8*K53,4)</f>
        <v>2.2000000000000001E-3</v>
      </c>
      <c r="J53" s="77">
        <f t="shared" ref="J53" si="6">ROUND(0.139/0.127*K53,4)</f>
        <v>2.3999999999999998E-3</v>
      </c>
      <c r="K53" s="360">
        <f>1/465.1</f>
        <v>2.1500752526338422E-3</v>
      </c>
      <c r="L53" s="72"/>
    </row>
    <row r="54" spans="1:1019" ht="15.75" customHeight="1" x14ac:dyDescent="0.25">
      <c r="A54" s="87" t="s">
        <v>636</v>
      </c>
      <c r="B54" s="79"/>
      <c r="C54" s="76"/>
      <c r="D54" s="86" t="s">
        <v>43</v>
      </c>
      <c r="E54" s="77">
        <f t="shared" si="4"/>
        <v>5.0000000000000001E-4</v>
      </c>
      <c r="F54" s="77">
        <v>500</v>
      </c>
      <c r="G54" s="72"/>
      <c r="H54" s="76" t="s">
        <v>57</v>
      </c>
      <c r="I54" s="77">
        <f>ROUND(0.2*J54+0.8*K54,1)</f>
        <v>5.9</v>
      </c>
      <c r="J54" s="77">
        <f>ROUND(0.127/0.139*K54,1)</f>
        <v>5.5</v>
      </c>
      <c r="K54" s="77">
        <v>6</v>
      </c>
      <c r="L54" s="72"/>
    </row>
    <row r="55" spans="1:1019" ht="15.75" customHeight="1" x14ac:dyDescent="0.35">
      <c r="A55" s="87" t="s">
        <v>637</v>
      </c>
      <c r="B55" s="79"/>
      <c r="C55" s="76"/>
      <c r="D55" s="86" t="s">
        <v>43</v>
      </c>
      <c r="E55" s="77">
        <f t="shared" si="4"/>
        <v>5.0000000000000001E-4</v>
      </c>
      <c r="F55" s="77">
        <v>500</v>
      </c>
      <c r="G55" s="72"/>
      <c r="H55" s="76" t="s">
        <v>663</v>
      </c>
      <c r="I55" s="359">
        <f t="shared" ref="I55" si="7">ROUND(0.2*J55+0.8*K55,4)</f>
        <v>3.2800000000000003E-2</v>
      </c>
      <c r="J55" s="360">
        <f>ROUND(0.139/0.127*K55,3)</f>
        <v>3.5000000000000003E-2</v>
      </c>
      <c r="K55" s="359">
        <f>1/31</f>
        <v>3.2258064516129031E-2</v>
      </c>
      <c r="L55" s="88"/>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c r="SK55" s="5"/>
      <c r="SL55" s="5"/>
      <c r="SM55" s="5"/>
      <c r="SN55" s="5"/>
      <c r="SO55" s="5"/>
      <c r="SP55" s="5"/>
      <c r="SQ55" s="5"/>
      <c r="SR55" s="5"/>
      <c r="SS55" s="5"/>
      <c r="ST55" s="5"/>
      <c r="SU55" s="5"/>
      <c r="SV55" s="5"/>
      <c r="SW55" s="5"/>
      <c r="SX55" s="5"/>
      <c r="SY55" s="5"/>
      <c r="SZ55" s="5"/>
      <c r="TA55" s="5"/>
      <c r="TB55" s="5"/>
      <c r="TC55" s="5"/>
      <c r="TD55" s="5"/>
      <c r="TE55" s="5"/>
      <c r="TF55" s="5"/>
      <c r="TG55" s="5"/>
      <c r="TH55" s="5"/>
      <c r="TI55" s="5"/>
      <c r="TJ55" s="5"/>
      <c r="TK55" s="5"/>
      <c r="TL55" s="5"/>
      <c r="TM55" s="5"/>
      <c r="TN55" s="5"/>
      <c r="TO55" s="5"/>
      <c r="TP55" s="5"/>
      <c r="TQ55" s="5"/>
      <c r="TR55" s="5"/>
      <c r="TS55" s="5"/>
      <c r="TT55" s="5"/>
      <c r="TU55" s="5"/>
      <c r="TV55" s="5"/>
      <c r="TW55" s="5"/>
      <c r="TX55" s="5"/>
      <c r="TY55" s="5"/>
      <c r="TZ55" s="5"/>
      <c r="UA55" s="5"/>
      <c r="UB55" s="5"/>
      <c r="UC55" s="5"/>
      <c r="UD55" s="5"/>
      <c r="UE55" s="5"/>
      <c r="UF55" s="5"/>
      <c r="UG55" s="5"/>
      <c r="UH55" s="5"/>
      <c r="UI55" s="5"/>
      <c r="UJ55" s="5"/>
      <c r="UK55" s="5"/>
      <c r="UL55" s="5"/>
      <c r="UM55" s="5"/>
      <c r="UN55" s="5"/>
      <c r="UO55" s="5"/>
      <c r="UP55" s="5"/>
      <c r="UQ55" s="5"/>
      <c r="UR55" s="5"/>
      <c r="US55" s="5"/>
      <c r="UT55" s="5"/>
      <c r="UU55" s="5"/>
      <c r="UV55" s="5"/>
      <c r="UW55" s="5"/>
      <c r="UX55" s="5"/>
      <c r="UY55" s="5"/>
      <c r="UZ55" s="5"/>
      <c r="VA55" s="5"/>
      <c r="VB55" s="5"/>
      <c r="VC55" s="5"/>
      <c r="VD55" s="5"/>
      <c r="VE55" s="5"/>
      <c r="VF55" s="5"/>
      <c r="VG55" s="5"/>
      <c r="VH55" s="5"/>
      <c r="VI55" s="5"/>
      <c r="VJ55" s="5"/>
      <c r="VK55" s="5"/>
      <c r="VL55" s="5"/>
      <c r="VM55" s="5"/>
      <c r="VN55" s="5"/>
      <c r="VO55" s="5"/>
      <c r="VP55" s="5"/>
      <c r="VQ55" s="5"/>
      <c r="VR55" s="5"/>
      <c r="VS55" s="5"/>
      <c r="VT55" s="5"/>
      <c r="VU55" s="5"/>
      <c r="VV55" s="5"/>
      <c r="VW55" s="5"/>
      <c r="VX55" s="5"/>
      <c r="VY55" s="5"/>
      <c r="VZ55" s="5"/>
      <c r="WA55" s="5"/>
      <c r="WB55" s="5"/>
      <c r="WC55" s="5"/>
      <c r="WD55" s="5"/>
      <c r="WE55" s="5"/>
      <c r="WF55" s="5"/>
      <c r="WG55" s="5"/>
      <c r="WH55" s="5"/>
      <c r="WI55" s="5"/>
      <c r="WJ55" s="5"/>
      <c r="WK55" s="5"/>
      <c r="WL55" s="5"/>
      <c r="WM55" s="5"/>
      <c r="WN55" s="5"/>
      <c r="WO55" s="5"/>
      <c r="WP55" s="5"/>
      <c r="WQ55" s="5"/>
      <c r="WR55" s="5"/>
      <c r="WS55" s="5"/>
      <c r="WT55" s="5"/>
      <c r="WU55" s="5"/>
      <c r="WV55" s="5"/>
      <c r="WW55" s="5"/>
      <c r="WX55" s="5"/>
      <c r="WY55" s="5"/>
      <c r="WZ55" s="5"/>
      <c r="XA55" s="5"/>
      <c r="XB55" s="5"/>
      <c r="XC55" s="5"/>
      <c r="XD55" s="5"/>
      <c r="XE55" s="5"/>
      <c r="XF55" s="5"/>
      <c r="XG55" s="5"/>
      <c r="XH55" s="5"/>
      <c r="XI55" s="5"/>
      <c r="XJ55" s="5"/>
      <c r="XK55" s="5"/>
      <c r="XL55" s="5"/>
      <c r="XM55" s="5"/>
      <c r="XN55" s="5"/>
      <c r="XO55" s="5"/>
      <c r="XP55" s="5"/>
      <c r="XQ55" s="5"/>
      <c r="XR55" s="5"/>
      <c r="XS55" s="5"/>
      <c r="XT55" s="5"/>
      <c r="XU55" s="5"/>
      <c r="XV55" s="5"/>
      <c r="XW55" s="5"/>
      <c r="XX55" s="5"/>
      <c r="XY55" s="5"/>
      <c r="XZ55" s="5"/>
      <c r="YA55" s="5"/>
      <c r="YB55" s="5"/>
      <c r="YC55" s="5"/>
      <c r="YD55" s="5"/>
      <c r="YE55" s="5"/>
      <c r="YF55" s="5"/>
      <c r="YG55" s="5"/>
      <c r="YH55" s="5"/>
      <c r="YI55" s="5"/>
      <c r="YJ55" s="5"/>
      <c r="YK55" s="5"/>
      <c r="YL55" s="5"/>
      <c r="YM55" s="5"/>
      <c r="YN55" s="5"/>
      <c r="YO55" s="5"/>
      <c r="YP55" s="5"/>
      <c r="YQ55" s="5"/>
      <c r="YR55" s="5"/>
      <c r="YS55" s="5"/>
      <c r="YT55" s="5"/>
      <c r="YU55" s="5"/>
      <c r="YV55" s="5"/>
      <c r="YW55" s="5"/>
      <c r="YX55" s="5"/>
      <c r="YY55" s="5"/>
      <c r="YZ55" s="5"/>
      <c r="ZA55" s="5"/>
      <c r="ZB55" s="5"/>
      <c r="ZC55" s="5"/>
      <c r="ZD55" s="5"/>
      <c r="ZE55" s="5"/>
      <c r="ZF55" s="5"/>
      <c r="ZG55" s="5"/>
      <c r="ZH55" s="5"/>
      <c r="ZI55" s="5"/>
      <c r="ZJ55" s="5"/>
      <c r="ZK55" s="5"/>
      <c r="ZL55" s="5"/>
      <c r="ZM55" s="5"/>
      <c r="ZN55" s="5"/>
      <c r="ZO55" s="5"/>
      <c r="ZP55" s="5"/>
      <c r="ZQ55" s="5"/>
      <c r="ZR55" s="5"/>
      <c r="ZS55" s="5"/>
      <c r="ZT55" s="5"/>
      <c r="ZU55" s="5"/>
      <c r="ZV55" s="5"/>
      <c r="ZW55" s="5"/>
      <c r="ZX55" s="5"/>
      <c r="ZY55" s="5"/>
      <c r="ZZ55" s="5"/>
      <c r="AAA55" s="5"/>
      <c r="AAB55" s="5"/>
      <c r="AAC55" s="5"/>
      <c r="AAD55" s="5"/>
      <c r="AAE55" s="5"/>
      <c r="AAF55" s="5"/>
      <c r="AAG55" s="5"/>
      <c r="AAH55" s="5"/>
      <c r="AAI55" s="5"/>
      <c r="AAJ55" s="5"/>
      <c r="AAK55" s="5"/>
      <c r="AAL55" s="5"/>
      <c r="AAM55" s="5"/>
      <c r="AAN55" s="5"/>
      <c r="AAO55" s="5"/>
      <c r="AAP55" s="5"/>
      <c r="AAQ55" s="5"/>
      <c r="AAR55" s="5"/>
      <c r="AAS55" s="5"/>
      <c r="AAT55" s="5"/>
      <c r="AAU55" s="5"/>
      <c r="AAV55" s="5"/>
      <c r="AAW55" s="5"/>
      <c r="AAX55" s="5"/>
      <c r="AAY55" s="5"/>
      <c r="AAZ55" s="5"/>
      <c r="ABA55" s="5"/>
      <c r="ABB55" s="5"/>
      <c r="ABC55" s="5"/>
      <c r="ABD55" s="5"/>
      <c r="ABE55" s="5"/>
      <c r="ABF55" s="5"/>
      <c r="ABG55" s="5"/>
      <c r="ABH55" s="5"/>
      <c r="ABI55" s="5"/>
      <c r="ABJ55" s="5"/>
      <c r="ABK55" s="5"/>
      <c r="ABL55" s="5"/>
      <c r="ABM55" s="5"/>
      <c r="ABN55" s="5"/>
      <c r="ABO55" s="5"/>
      <c r="ABP55" s="5"/>
      <c r="ABQ55" s="5"/>
      <c r="ABR55" s="5"/>
      <c r="ABS55" s="5"/>
      <c r="ABT55" s="5"/>
      <c r="ABU55" s="5"/>
      <c r="ABV55" s="5"/>
      <c r="ABW55" s="5"/>
      <c r="ABX55" s="5"/>
      <c r="ABY55" s="5"/>
      <c r="ABZ55" s="5"/>
      <c r="ACA55" s="5"/>
      <c r="ACB55" s="5"/>
      <c r="ACC55" s="5"/>
      <c r="ACD55" s="5"/>
      <c r="ACE55" s="5"/>
      <c r="ACF55" s="5"/>
      <c r="ACG55" s="5"/>
      <c r="ACH55" s="5"/>
      <c r="ACI55" s="5"/>
      <c r="ACJ55" s="5"/>
      <c r="ACK55" s="5"/>
      <c r="ACL55" s="5"/>
      <c r="ACM55" s="5"/>
      <c r="ACN55" s="5"/>
      <c r="ACO55" s="5"/>
      <c r="ACP55" s="5"/>
      <c r="ACQ55" s="5"/>
      <c r="ACR55" s="5"/>
      <c r="ACS55" s="5"/>
      <c r="ACT55" s="5"/>
      <c r="ACU55" s="5"/>
      <c r="ACV55" s="5"/>
      <c r="ACW55" s="5"/>
      <c r="ACX55" s="5"/>
      <c r="ACY55" s="5"/>
      <c r="ACZ55" s="5"/>
      <c r="ADA55" s="5"/>
      <c r="ADB55" s="5"/>
      <c r="ADC55" s="5"/>
      <c r="ADD55" s="5"/>
      <c r="ADE55" s="5"/>
      <c r="ADF55" s="5"/>
      <c r="ADG55" s="5"/>
      <c r="ADH55" s="5"/>
      <c r="ADI55" s="5"/>
      <c r="ADJ55" s="5"/>
      <c r="ADK55" s="5"/>
      <c r="ADL55" s="5"/>
      <c r="ADM55" s="5"/>
      <c r="ADN55" s="5"/>
      <c r="ADO55" s="5"/>
      <c r="ADP55" s="5"/>
      <c r="ADQ55" s="5"/>
      <c r="ADR55" s="5"/>
      <c r="ADS55" s="5"/>
      <c r="ADT55" s="5"/>
      <c r="ADU55" s="5"/>
      <c r="ADV55" s="5"/>
      <c r="ADW55" s="5"/>
      <c r="ADX55" s="5"/>
      <c r="ADY55" s="5"/>
      <c r="ADZ55" s="5"/>
      <c r="AEA55" s="5"/>
      <c r="AEB55" s="5"/>
      <c r="AEC55" s="5"/>
      <c r="AED55" s="5"/>
      <c r="AEE55" s="5"/>
      <c r="AEF55" s="5"/>
      <c r="AEG55" s="5"/>
      <c r="AEH55" s="5"/>
      <c r="AEI55" s="5"/>
      <c r="AEJ55" s="5"/>
      <c r="AEK55" s="5"/>
      <c r="AEL55" s="5"/>
      <c r="AEM55" s="5"/>
      <c r="AEN55" s="5"/>
      <c r="AEO55" s="5"/>
      <c r="AEP55" s="5"/>
      <c r="AEQ55" s="5"/>
      <c r="AER55" s="5"/>
      <c r="AES55" s="5"/>
      <c r="AET55" s="5"/>
      <c r="AEU55" s="5"/>
      <c r="AEV55" s="5"/>
      <c r="AEW55" s="5"/>
      <c r="AEX55" s="5"/>
      <c r="AEY55" s="5"/>
      <c r="AEZ55" s="5"/>
      <c r="AFA55" s="5"/>
      <c r="AFB55" s="5"/>
      <c r="AFC55" s="5"/>
      <c r="AFD55" s="5"/>
      <c r="AFE55" s="5"/>
      <c r="AFF55" s="5"/>
      <c r="AFG55" s="5"/>
      <c r="AFH55" s="5"/>
      <c r="AFI55" s="5"/>
      <c r="AFJ55" s="5"/>
      <c r="AFK55" s="5"/>
      <c r="AFL55" s="5"/>
      <c r="AFM55" s="5"/>
      <c r="AFN55" s="5"/>
      <c r="AFO55" s="5"/>
      <c r="AFP55" s="5"/>
      <c r="AFQ55" s="5"/>
      <c r="AFR55" s="5"/>
      <c r="AFS55" s="5"/>
      <c r="AFT55" s="5"/>
      <c r="AFU55" s="5"/>
      <c r="AFV55" s="5"/>
      <c r="AFW55" s="5"/>
      <c r="AFX55" s="5"/>
      <c r="AFY55" s="5"/>
      <c r="AFZ55" s="5"/>
      <c r="AGA55" s="5"/>
      <c r="AGB55" s="5"/>
      <c r="AGC55" s="5"/>
      <c r="AGD55" s="5"/>
      <c r="AGE55" s="5"/>
      <c r="AGF55" s="5"/>
      <c r="AGG55" s="5"/>
      <c r="AGH55" s="5"/>
      <c r="AGI55" s="5"/>
      <c r="AGJ55" s="5"/>
      <c r="AGK55" s="5"/>
      <c r="AGL55" s="5"/>
      <c r="AGM55" s="5"/>
      <c r="AGN55" s="5"/>
      <c r="AGO55" s="5"/>
      <c r="AGP55" s="5"/>
      <c r="AGQ55" s="5"/>
      <c r="AGR55" s="5"/>
      <c r="AGS55" s="5"/>
      <c r="AGT55" s="5"/>
      <c r="AGU55" s="5"/>
      <c r="AGV55" s="5"/>
      <c r="AGW55" s="5"/>
      <c r="AGX55" s="5"/>
      <c r="AGY55" s="5"/>
      <c r="AGZ55" s="5"/>
      <c r="AHA55" s="5"/>
      <c r="AHB55" s="5"/>
      <c r="AHC55" s="5"/>
      <c r="AHD55" s="5"/>
      <c r="AHE55" s="5"/>
      <c r="AHF55" s="5"/>
      <c r="AHG55" s="5"/>
      <c r="AHH55" s="5"/>
      <c r="AHI55" s="5"/>
      <c r="AHJ55" s="5"/>
      <c r="AHK55" s="5"/>
      <c r="AHL55" s="5"/>
      <c r="AHM55" s="5"/>
      <c r="AHN55" s="5"/>
      <c r="AHO55" s="5"/>
      <c r="AHP55" s="5"/>
      <c r="AHQ55" s="5"/>
      <c r="AHR55" s="5"/>
      <c r="AHS55" s="5"/>
      <c r="AHT55" s="5"/>
      <c r="AHU55" s="5"/>
      <c r="AHV55" s="5"/>
      <c r="AHW55" s="5"/>
      <c r="AHX55" s="5"/>
      <c r="AHY55" s="5"/>
      <c r="AHZ55" s="5"/>
      <c r="AIA55" s="5"/>
      <c r="AIB55" s="5"/>
      <c r="AIC55" s="5"/>
      <c r="AID55" s="5"/>
      <c r="AIE55" s="5"/>
      <c r="AIF55" s="5"/>
      <c r="AIG55" s="5"/>
      <c r="AIH55" s="5"/>
      <c r="AII55" s="5"/>
      <c r="AIJ55" s="5"/>
      <c r="AIK55" s="5"/>
      <c r="AIL55" s="5"/>
      <c r="AIM55" s="5"/>
      <c r="AIN55" s="5"/>
      <c r="AIO55" s="5"/>
      <c r="AIP55" s="5"/>
      <c r="AIQ55" s="5"/>
      <c r="AIR55" s="5"/>
      <c r="AIS55" s="5"/>
      <c r="AIT55" s="5"/>
      <c r="AIU55" s="5"/>
      <c r="AIV55" s="5"/>
      <c r="AIW55" s="5"/>
      <c r="AIX55" s="5"/>
      <c r="AIY55" s="5"/>
      <c r="AIZ55" s="5"/>
      <c r="AJA55" s="5"/>
      <c r="AJB55" s="5"/>
      <c r="AJC55" s="5"/>
      <c r="AJD55" s="5"/>
      <c r="AJE55" s="5"/>
      <c r="AJF55" s="5"/>
      <c r="AJG55" s="5"/>
      <c r="AJH55" s="5"/>
      <c r="AJI55" s="5"/>
      <c r="AJJ55" s="5"/>
      <c r="AJK55" s="5"/>
      <c r="AJL55" s="5"/>
      <c r="AJM55" s="5"/>
      <c r="AJN55" s="5"/>
      <c r="AJO55" s="5"/>
      <c r="AJP55" s="5"/>
      <c r="AJQ55" s="5"/>
      <c r="AJR55" s="5"/>
      <c r="AJS55" s="5"/>
      <c r="AJT55" s="5"/>
      <c r="AJU55" s="5"/>
      <c r="AJV55" s="5"/>
      <c r="AJW55" s="5"/>
      <c r="AJX55" s="5"/>
      <c r="AJY55" s="5"/>
      <c r="AJZ55" s="5"/>
      <c r="AKA55" s="5"/>
      <c r="AKB55" s="5"/>
      <c r="AKC55" s="5"/>
      <c r="AKD55" s="5"/>
      <c r="AKE55" s="5"/>
      <c r="AKF55" s="5"/>
      <c r="AKG55" s="5"/>
      <c r="AKH55" s="5"/>
      <c r="AKI55" s="5"/>
      <c r="AKJ55" s="5"/>
      <c r="AKK55" s="5"/>
      <c r="AKL55" s="5"/>
      <c r="AKM55" s="5"/>
      <c r="AKN55" s="5"/>
      <c r="AKO55" s="5"/>
      <c r="AKP55" s="5"/>
      <c r="AKQ55" s="5"/>
      <c r="AKR55" s="5"/>
      <c r="AKS55" s="5"/>
      <c r="AKT55" s="5"/>
      <c r="AKU55" s="5"/>
      <c r="AKV55" s="5"/>
      <c r="AKW55" s="5"/>
      <c r="AKX55" s="5"/>
      <c r="AKY55" s="5"/>
      <c r="AKZ55" s="5"/>
      <c r="ALA55" s="5"/>
      <c r="ALB55" s="5"/>
      <c r="ALC55" s="5"/>
      <c r="ALD55" s="5"/>
      <c r="ALE55" s="5"/>
      <c r="ALF55" s="5"/>
      <c r="ALG55" s="5"/>
      <c r="ALH55" s="5"/>
      <c r="ALI55" s="5"/>
      <c r="ALJ55" s="5"/>
      <c r="ALK55" s="5"/>
      <c r="ALL55" s="5"/>
      <c r="ALM55" s="5"/>
      <c r="ALN55" s="5"/>
      <c r="ALO55" s="5"/>
      <c r="ALP55" s="5"/>
      <c r="ALQ55" s="5"/>
      <c r="ALR55" s="5"/>
      <c r="ALS55" s="5"/>
      <c r="ALT55" s="5"/>
      <c r="ALU55" s="5"/>
      <c r="ALV55" s="5"/>
      <c r="ALW55" s="5"/>
      <c r="ALX55" s="5"/>
      <c r="ALY55" s="5"/>
      <c r="ALZ55" s="5"/>
      <c r="AMA55" s="5"/>
      <c r="AMB55" s="5"/>
      <c r="AMC55" s="5"/>
      <c r="AMD55" s="5"/>
      <c r="AME55" s="5"/>
    </row>
    <row r="56" spans="1:1019" ht="15" customHeight="1" x14ac:dyDescent="0.35">
      <c r="A56" s="87" t="s">
        <v>638</v>
      </c>
      <c r="B56" s="79"/>
      <c r="C56" s="76"/>
      <c r="D56" s="86" t="s">
        <v>43</v>
      </c>
      <c r="E56" s="77">
        <v>5.0000000000000001E-4</v>
      </c>
      <c r="F56" s="77">
        <v>25</v>
      </c>
      <c r="G56" s="72"/>
      <c r="H56" s="76"/>
      <c r="I56" s="77"/>
      <c r="J56" s="77"/>
      <c r="K56" s="77"/>
      <c r="L56" s="88"/>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c r="SK56" s="5"/>
      <c r="SL56" s="5"/>
      <c r="SM56" s="5"/>
      <c r="SN56" s="5"/>
      <c r="SO56" s="5"/>
      <c r="SP56" s="5"/>
      <c r="SQ56" s="5"/>
      <c r="SR56" s="5"/>
      <c r="SS56" s="5"/>
      <c r="ST56" s="5"/>
      <c r="SU56" s="5"/>
      <c r="SV56" s="5"/>
      <c r="SW56" s="5"/>
      <c r="SX56" s="5"/>
      <c r="SY56" s="5"/>
      <c r="SZ56" s="5"/>
      <c r="TA56" s="5"/>
      <c r="TB56" s="5"/>
      <c r="TC56" s="5"/>
      <c r="TD56" s="5"/>
      <c r="TE56" s="5"/>
      <c r="TF56" s="5"/>
      <c r="TG56" s="5"/>
      <c r="TH56" s="5"/>
      <c r="TI56" s="5"/>
      <c r="TJ56" s="5"/>
      <c r="TK56" s="5"/>
      <c r="TL56" s="5"/>
      <c r="TM56" s="5"/>
      <c r="TN56" s="5"/>
      <c r="TO56" s="5"/>
      <c r="TP56" s="5"/>
      <c r="TQ56" s="5"/>
      <c r="TR56" s="5"/>
      <c r="TS56" s="5"/>
      <c r="TT56" s="5"/>
      <c r="TU56" s="5"/>
      <c r="TV56" s="5"/>
      <c r="TW56" s="5"/>
      <c r="TX56" s="5"/>
      <c r="TY56" s="5"/>
      <c r="TZ56" s="5"/>
      <c r="UA56" s="5"/>
      <c r="UB56" s="5"/>
      <c r="UC56" s="5"/>
      <c r="UD56" s="5"/>
      <c r="UE56" s="5"/>
      <c r="UF56" s="5"/>
      <c r="UG56" s="5"/>
      <c r="UH56" s="5"/>
      <c r="UI56" s="5"/>
      <c r="UJ56" s="5"/>
      <c r="UK56" s="5"/>
      <c r="UL56" s="5"/>
      <c r="UM56" s="5"/>
      <c r="UN56" s="5"/>
      <c r="UO56" s="5"/>
      <c r="UP56" s="5"/>
      <c r="UQ56" s="5"/>
      <c r="UR56" s="5"/>
      <c r="US56" s="5"/>
      <c r="UT56" s="5"/>
      <c r="UU56" s="5"/>
      <c r="UV56" s="5"/>
      <c r="UW56" s="5"/>
      <c r="UX56" s="5"/>
      <c r="UY56" s="5"/>
      <c r="UZ56" s="5"/>
      <c r="VA56" s="5"/>
      <c r="VB56" s="5"/>
      <c r="VC56" s="5"/>
      <c r="VD56" s="5"/>
      <c r="VE56" s="5"/>
      <c r="VF56" s="5"/>
      <c r="VG56" s="5"/>
      <c r="VH56" s="5"/>
      <c r="VI56" s="5"/>
      <c r="VJ56" s="5"/>
      <c r="VK56" s="5"/>
      <c r="VL56" s="5"/>
      <c r="VM56" s="5"/>
      <c r="VN56" s="5"/>
      <c r="VO56" s="5"/>
      <c r="VP56" s="5"/>
      <c r="VQ56" s="5"/>
      <c r="VR56" s="5"/>
      <c r="VS56" s="5"/>
      <c r="VT56" s="5"/>
      <c r="VU56" s="5"/>
      <c r="VV56" s="5"/>
      <c r="VW56" s="5"/>
      <c r="VX56" s="5"/>
      <c r="VY56" s="5"/>
      <c r="VZ56" s="5"/>
      <c r="WA56" s="5"/>
      <c r="WB56" s="5"/>
      <c r="WC56" s="5"/>
      <c r="WD56" s="5"/>
      <c r="WE56" s="5"/>
      <c r="WF56" s="5"/>
      <c r="WG56" s="5"/>
      <c r="WH56" s="5"/>
      <c r="WI56" s="5"/>
      <c r="WJ56" s="5"/>
      <c r="WK56" s="5"/>
      <c r="WL56" s="5"/>
      <c r="WM56" s="5"/>
      <c r="WN56" s="5"/>
      <c r="WO56" s="5"/>
      <c r="WP56" s="5"/>
      <c r="WQ56" s="5"/>
      <c r="WR56" s="5"/>
      <c r="WS56" s="5"/>
      <c r="WT56" s="5"/>
      <c r="WU56" s="5"/>
      <c r="WV56" s="5"/>
      <c r="WW56" s="5"/>
      <c r="WX56" s="5"/>
      <c r="WY56" s="5"/>
      <c r="WZ56" s="5"/>
      <c r="XA56" s="5"/>
      <c r="XB56" s="5"/>
      <c r="XC56" s="5"/>
      <c r="XD56" s="5"/>
      <c r="XE56" s="5"/>
      <c r="XF56" s="5"/>
      <c r="XG56" s="5"/>
      <c r="XH56" s="5"/>
      <c r="XI56" s="5"/>
      <c r="XJ56" s="5"/>
      <c r="XK56" s="5"/>
      <c r="XL56" s="5"/>
      <c r="XM56" s="5"/>
      <c r="XN56" s="5"/>
      <c r="XO56" s="5"/>
      <c r="XP56" s="5"/>
      <c r="XQ56" s="5"/>
      <c r="XR56" s="5"/>
      <c r="XS56" s="5"/>
      <c r="XT56" s="5"/>
      <c r="XU56" s="5"/>
      <c r="XV56" s="5"/>
      <c r="XW56" s="5"/>
      <c r="XX56" s="5"/>
      <c r="XY56" s="5"/>
      <c r="XZ56" s="5"/>
      <c r="YA56" s="5"/>
      <c r="YB56" s="5"/>
      <c r="YC56" s="5"/>
      <c r="YD56" s="5"/>
      <c r="YE56" s="5"/>
      <c r="YF56" s="5"/>
      <c r="YG56" s="5"/>
      <c r="YH56" s="5"/>
      <c r="YI56" s="5"/>
      <c r="YJ56" s="5"/>
      <c r="YK56" s="5"/>
      <c r="YL56" s="5"/>
      <c r="YM56" s="5"/>
      <c r="YN56" s="5"/>
      <c r="YO56" s="5"/>
      <c r="YP56" s="5"/>
      <c r="YQ56" s="5"/>
      <c r="YR56" s="5"/>
      <c r="YS56" s="5"/>
      <c r="YT56" s="5"/>
      <c r="YU56" s="5"/>
      <c r="YV56" s="5"/>
      <c r="YW56" s="5"/>
      <c r="YX56" s="5"/>
      <c r="YY56" s="5"/>
      <c r="YZ56" s="5"/>
      <c r="ZA56" s="5"/>
      <c r="ZB56" s="5"/>
      <c r="ZC56" s="5"/>
      <c r="ZD56" s="5"/>
      <c r="ZE56" s="5"/>
      <c r="ZF56" s="5"/>
      <c r="ZG56" s="5"/>
      <c r="ZH56" s="5"/>
      <c r="ZI56" s="5"/>
      <c r="ZJ56" s="5"/>
      <c r="ZK56" s="5"/>
      <c r="ZL56" s="5"/>
      <c r="ZM56" s="5"/>
      <c r="ZN56" s="5"/>
      <c r="ZO56" s="5"/>
      <c r="ZP56" s="5"/>
      <c r="ZQ56" s="5"/>
      <c r="ZR56" s="5"/>
      <c r="ZS56" s="5"/>
      <c r="ZT56" s="5"/>
      <c r="ZU56" s="5"/>
      <c r="ZV56" s="5"/>
      <c r="ZW56" s="5"/>
      <c r="ZX56" s="5"/>
      <c r="ZY56" s="5"/>
      <c r="ZZ56" s="5"/>
      <c r="AAA56" s="5"/>
      <c r="AAB56" s="5"/>
      <c r="AAC56" s="5"/>
      <c r="AAD56" s="5"/>
      <c r="AAE56" s="5"/>
      <c r="AAF56" s="5"/>
      <c r="AAG56" s="5"/>
      <c r="AAH56" s="5"/>
      <c r="AAI56" s="5"/>
      <c r="AAJ56" s="5"/>
      <c r="AAK56" s="5"/>
      <c r="AAL56" s="5"/>
      <c r="AAM56" s="5"/>
      <c r="AAN56" s="5"/>
      <c r="AAO56" s="5"/>
      <c r="AAP56" s="5"/>
      <c r="AAQ56" s="5"/>
      <c r="AAR56" s="5"/>
      <c r="AAS56" s="5"/>
      <c r="AAT56" s="5"/>
      <c r="AAU56" s="5"/>
      <c r="AAV56" s="5"/>
      <c r="AAW56" s="5"/>
      <c r="AAX56" s="5"/>
      <c r="AAY56" s="5"/>
      <c r="AAZ56" s="5"/>
      <c r="ABA56" s="5"/>
      <c r="ABB56" s="5"/>
      <c r="ABC56" s="5"/>
      <c r="ABD56" s="5"/>
      <c r="ABE56" s="5"/>
      <c r="ABF56" s="5"/>
      <c r="ABG56" s="5"/>
      <c r="ABH56" s="5"/>
      <c r="ABI56" s="5"/>
      <c r="ABJ56" s="5"/>
      <c r="ABK56" s="5"/>
      <c r="ABL56" s="5"/>
      <c r="ABM56" s="5"/>
      <c r="ABN56" s="5"/>
      <c r="ABO56" s="5"/>
      <c r="ABP56" s="5"/>
      <c r="ABQ56" s="5"/>
      <c r="ABR56" s="5"/>
      <c r="ABS56" s="5"/>
      <c r="ABT56" s="5"/>
      <c r="ABU56" s="5"/>
      <c r="ABV56" s="5"/>
      <c r="ABW56" s="5"/>
      <c r="ABX56" s="5"/>
      <c r="ABY56" s="5"/>
      <c r="ABZ56" s="5"/>
      <c r="ACA56" s="5"/>
      <c r="ACB56" s="5"/>
      <c r="ACC56" s="5"/>
      <c r="ACD56" s="5"/>
      <c r="ACE56" s="5"/>
      <c r="ACF56" s="5"/>
      <c r="ACG56" s="5"/>
      <c r="ACH56" s="5"/>
      <c r="ACI56" s="5"/>
      <c r="ACJ56" s="5"/>
      <c r="ACK56" s="5"/>
      <c r="ACL56" s="5"/>
      <c r="ACM56" s="5"/>
      <c r="ACN56" s="5"/>
      <c r="ACO56" s="5"/>
      <c r="ACP56" s="5"/>
      <c r="ACQ56" s="5"/>
      <c r="ACR56" s="5"/>
      <c r="ACS56" s="5"/>
      <c r="ACT56" s="5"/>
      <c r="ACU56" s="5"/>
      <c r="ACV56" s="5"/>
      <c r="ACW56" s="5"/>
      <c r="ACX56" s="5"/>
      <c r="ACY56" s="5"/>
      <c r="ACZ56" s="5"/>
      <c r="ADA56" s="5"/>
      <c r="ADB56" s="5"/>
      <c r="ADC56" s="5"/>
      <c r="ADD56" s="5"/>
      <c r="ADE56" s="5"/>
      <c r="ADF56" s="5"/>
      <c r="ADG56" s="5"/>
      <c r="ADH56" s="5"/>
      <c r="ADI56" s="5"/>
      <c r="ADJ56" s="5"/>
      <c r="ADK56" s="5"/>
      <c r="ADL56" s="5"/>
      <c r="ADM56" s="5"/>
      <c r="ADN56" s="5"/>
      <c r="ADO56" s="5"/>
      <c r="ADP56" s="5"/>
      <c r="ADQ56" s="5"/>
      <c r="ADR56" s="5"/>
      <c r="ADS56" s="5"/>
      <c r="ADT56" s="5"/>
      <c r="ADU56" s="5"/>
      <c r="ADV56" s="5"/>
      <c r="ADW56" s="5"/>
      <c r="ADX56" s="5"/>
      <c r="ADY56" s="5"/>
      <c r="ADZ56" s="5"/>
      <c r="AEA56" s="5"/>
      <c r="AEB56" s="5"/>
      <c r="AEC56" s="5"/>
      <c r="AED56" s="5"/>
      <c r="AEE56" s="5"/>
      <c r="AEF56" s="5"/>
      <c r="AEG56" s="5"/>
      <c r="AEH56" s="5"/>
      <c r="AEI56" s="5"/>
      <c r="AEJ56" s="5"/>
      <c r="AEK56" s="5"/>
      <c r="AEL56" s="5"/>
      <c r="AEM56" s="5"/>
      <c r="AEN56" s="5"/>
      <c r="AEO56" s="5"/>
      <c r="AEP56" s="5"/>
      <c r="AEQ56" s="5"/>
      <c r="AER56" s="5"/>
      <c r="AES56" s="5"/>
      <c r="AET56" s="5"/>
      <c r="AEU56" s="5"/>
      <c r="AEV56" s="5"/>
      <c r="AEW56" s="5"/>
      <c r="AEX56" s="5"/>
      <c r="AEY56" s="5"/>
      <c r="AEZ56" s="5"/>
      <c r="AFA56" s="5"/>
      <c r="AFB56" s="5"/>
      <c r="AFC56" s="5"/>
      <c r="AFD56" s="5"/>
      <c r="AFE56" s="5"/>
      <c r="AFF56" s="5"/>
      <c r="AFG56" s="5"/>
      <c r="AFH56" s="5"/>
      <c r="AFI56" s="5"/>
      <c r="AFJ56" s="5"/>
      <c r="AFK56" s="5"/>
      <c r="AFL56" s="5"/>
      <c r="AFM56" s="5"/>
      <c r="AFN56" s="5"/>
      <c r="AFO56" s="5"/>
      <c r="AFP56" s="5"/>
      <c r="AFQ56" s="5"/>
      <c r="AFR56" s="5"/>
      <c r="AFS56" s="5"/>
      <c r="AFT56" s="5"/>
      <c r="AFU56" s="5"/>
      <c r="AFV56" s="5"/>
      <c r="AFW56" s="5"/>
      <c r="AFX56" s="5"/>
      <c r="AFY56" s="5"/>
      <c r="AFZ56" s="5"/>
      <c r="AGA56" s="5"/>
      <c r="AGB56" s="5"/>
      <c r="AGC56" s="5"/>
      <c r="AGD56" s="5"/>
      <c r="AGE56" s="5"/>
      <c r="AGF56" s="5"/>
      <c r="AGG56" s="5"/>
      <c r="AGH56" s="5"/>
      <c r="AGI56" s="5"/>
      <c r="AGJ56" s="5"/>
      <c r="AGK56" s="5"/>
      <c r="AGL56" s="5"/>
      <c r="AGM56" s="5"/>
      <c r="AGN56" s="5"/>
      <c r="AGO56" s="5"/>
      <c r="AGP56" s="5"/>
      <c r="AGQ56" s="5"/>
      <c r="AGR56" s="5"/>
      <c r="AGS56" s="5"/>
      <c r="AGT56" s="5"/>
      <c r="AGU56" s="5"/>
      <c r="AGV56" s="5"/>
      <c r="AGW56" s="5"/>
      <c r="AGX56" s="5"/>
      <c r="AGY56" s="5"/>
      <c r="AGZ56" s="5"/>
      <c r="AHA56" s="5"/>
      <c r="AHB56" s="5"/>
      <c r="AHC56" s="5"/>
      <c r="AHD56" s="5"/>
      <c r="AHE56" s="5"/>
      <c r="AHF56" s="5"/>
      <c r="AHG56" s="5"/>
      <c r="AHH56" s="5"/>
      <c r="AHI56" s="5"/>
      <c r="AHJ56" s="5"/>
      <c r="AHK56" s="5"/>
      <c r="AHL56" s="5"/>
      <c r="AHM56" s="5"/>
      <c r="AHN56" s="5"/>
      <c r="AHO56" s="5"/>
      <c r="AHP56" s="5"/>
      <c r="AHQ56" s="5"/>
      <c r="AHR56" s="5"/>
      <c r="AHS56" s="5"/>
      <c r="AHT56" s="5"/>
      <c r="AHU56" s="5"/>
      <c r="AHV56" s="5"/>
      <c r="AHW56" s="5"/>
      <c r="AHX56" s="5"/>
      <c r="AHY56" s="5"/>
      <c r="AHZ56" s="5"/>
      <c r="AIA56" s="5"/>
      <c r="AIB56" s="5"/>
      <c r="AIC56" s="5"/>
      <c r="AID56" s="5"/>
      <c r="AIE56" s="5"/>
      <c r="AIF56" s="5"/>
      <c r="AIG56" s="5"/>
      <c r="AIH56" s="5"/>
      <c r="AII56" s="5"/>
      <c r="AIJ56" s="5"/>
      <c r="AIK56" s="5"/>
      <c r="AIL56" s="5"/>
      <c r="AIM56" s="5"/>
      <c r="AIN56" s="5"/>
      <c r="AIO56" s="5"/>
      <c r="AIP56" s="5"/>
      <c r="AIQ56" s="5"/>
      <c r="AIR56" s="5"/>
      <c r="AIS56" s="5"/>
      <c r="AIT56" s="5"/>
      <c r="AIU56" s="5"/>
      <c r="AIV56" s="5"/>
      <c r="AIW56" s="5"/>
      <c r="AIX56" s="5"/>
      <c r="AIY56" s="5"/>
      <c r="AIZ56" s="5"/>
      <c r="AJA56" s="5"/>
      <c r="AJB56" s="5"/>
      <c r="AJC56" s="5"/>
      <c r="AJD56" s="5"/>
      <c r="AJE56" s="5"/>
      <c r="AJF56" s="5"/>
      <c r="AJG56" s="5"/>
      <c r="AJH56" s="5"/>
      <c r="AJI56" s="5"/>
      <c r="AJJ56" s="5"/>
      <c r="AJK56" s="5"/>
      <c r="AJL56" s="5"/>
      <c r="AJM56" s="5"/>
      <c r="AJN56" s="5"/>
      <c r="AJO56" s="5"/>
      <c r="AJP56" s="5"/>
      <c r="AJQ56" s="5"/>
      <c r="AJR56" s="5"/>
      <c r="AJS56" s="5"/>
      <c r="AJT56" s="5"/>
      <c r="AJU56" s="5"/>
      <c r="AJV56" s="5"/>
      <c r="AJW56" s="5"/>
      <c r="AJX56" s="5"/>
      <c r="AJY56" s="5"/>
      <c r="AJZ56" s="5"/>
      <c r="AKA56" s="5"/>
      <c r="AKB56" s="5"/>
      <c r="AKC56" s="5"/>
      <c r="AKD56" s="5"/>
      <c r="AKE56" s="5"/>
      <c r="AKF56" s="5"/>
      <c r="AKG56" s="5"/>
      <c r="AKH56" s="5"/>
      <c r="AKI56" s="5"/>
      <c r="AKJ56" s="5"/>
      <c r="AKK56" s="5"/>
      <c r="AKL56" s="5"/>
      <c r="AKM56" s="5"/>
      <c r="AKN56" s="5"/>
      <c r="AKO56" s="5"/>
      <c r="AKP56" s="5"/>
      <c r="AKQ56" s="5"/>
      <c r="AKR56" s="5"/>
      <c r="AKS56" s="5"/>
      <c r="AKT56" s="5"/>
      <c r="AKU56" s="5"/>
      <c r="AKV56" s="5"/>
      <c r="AKW56" s="5"/>
      <c r="AKX56" s="5"/>
      <c r="AKY56" s="5"/>
      <c r="AKZ56" s="5"/>
      <c r="ALA56" s="5"/>
      <c r="ALB56" s="5"/>
      <c r="ALC56" s="5"/>
      <c r="ALD56" s="5"/>
      <c r="ALE56" s="5"/>
      <c r="ALF56" s="5"/>
      <c r="ALG56" s="5"/>
      <c r="ALH56" s="5"/>
      <c r="ALI56" s="5"/>
      <c r="ALJ56" s="5"/>
      <c r="ALK56" s="5"/>
      <c r="ALL56" s="5"/>
      <c r="ALM56" s="5"/>
      <c r="ALN56" s="5"/>
      <c r="ALO56" s="5"/>
      <c r="ALP56" s="5"/>
      <c r="ALQ56" s="5"/>
      <c r="ALR56" s="5"/>
      <c r="ALS56" s="5"/>
      <c r="ALT56" s="5"/>
      <c r="ALU56" s="5"/>
      <c r="ALV56" s="5"/>
      <c r="ALW56" s="5"/>
      <c r="ALX56" s="5"/>
      <c r="ALY56" s="5"/>
      <c r="ALZ56" s="5"/>
      <c r="AMA56" s="5"/>
      <c r="AMB56" s="5"/>
      <c r="AMC56" s="5"/>
      <c r="AMD56" s="5"/>
      <c r="AME56" s="5"/>
    </row>
    <row r="57" spans="1:1019" ht="15" customHeight="1" x14ac:dyDescent="0.35">
      <c r="A57" s="87" t="s">
        <v>32</v>
      </c>
      <c r="B57" s="79"/>
      <c r="C57" s="76"/>
      <c r="D57" s="86" t="s">
        <v>43</v>
      </c>
      <c r="E57" s="77">
        <v>5.0000000000000001E-4</v>
      </c>
      <c r="F57" s="77">
        <v>25</v>
      </c>
      <c r="G57" s="72"/>
      <c r="H57" s="76" t="str">
        <f>IF('User Defined Factors'!A80="User Defined Vehicle #1",'User Defined Factors'!A80,CONCATENATE("User Defined"," ",'User Defined Factors'!A80))</f>
        <v>User Defined Vehicle #1</v>
      </c>
      <c r="I57" s="77" t="str">
        <f>IF(ISBLANK('User Defined Factors'!C80)=TRUE,"ENTER DATA",'User Defined Factors'!C80)</f>
        <v>ENTER DATA</v>
      </c>
      <c r="J57" s="77" t="str">
        <f>IF(ISBLANK('User Defined Factors'!D80)=TRUE,"ENTER DATA",'User Defined Factors'!D80)</f>
        <v>ENTER DATA</v>
      </c>
      <c r="K57" s="77" t="str">
        <f>IF(ISBLANK('User Defined Factors'!E80)=TRUE,"ENTER DATA",'User Defined Factors'!E80)</f>
        <v>ENTER DATA</v>
      </c>
      <c r="L57" s="88"/>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c r="SK57" s="5"/>
      <c r="SL57" s="5"/>
      <c r="SM57" s="5"/>
      <c r="SN57" s="5"/>
      <c r="SO57" s="5"/>
      <c r="SP57" s="5"/>
      <c r="SQ57" s="5"/>
      <c r="SR57" s="5"/>
      <c r="SS57" s="5"/>
      <c r="ST57" s="5"/>
      <c r="SU57" s="5"/>
      <c r="SV57" s="5"/>
      <c r="SW57" s="5"/>
      <c r="SX57" s="5"/>
      <c r="SY57" s="5"/>
      <c r="SZ57" s="5"/>
      <c r="TA57" s="5"/>
      <c r="TB57" s="5"/>
      <c r="TC57" s="5"/>
      <c r="TD57" s="5"/>
      <c r="TE57" s="5"/>
      <c r="TF57" s="5"/>
      <c r="TG57" s="5"/>
      <c r="TH57" s="5"/>
      <c r="TI57" s="5"/>
      <c r="TJ57" s="5"/>
      <c r="TK57" s="5"/>
      <c r="TL57" s="5"/>
      <c r="TM57" s="5"/>
      <c r="TN57" s="5"/>
      <c r="TO57" s="5"/>
      <c r="TP57" s="5"/>
      <c r="TQ57" s="5"/>
      <c r="TR57" s="5"/>
      <c r="TS57" s="5"/>
      <c r="TT57" s="5"/>
      <c r="TU57" s="5"/>
      <c r="TV57" s="5"/>
      <c r="TW57" s="5"/>
      <c r="TX57" s="5"/>
      <c r="TY57" s="5"/>
      <c r="TZ57" s="5"/>
      <c r="UA57" s="5"/>
      <c r="UB57" s="5"/>
      <c r="UC57" s="5"/>
      <c r="UD57" s="5"/>
      <c r="UE57" s="5"/>
      <c r="UF57" s="5"/>
      <c r="UG57" s="5"/>
      <c r="UH57" s="5"/>
      <c r="UI57" s="5"/>
      <c r="UJ57" s="5"/>
      <c r="UK57" s="5"/>
      <c r="UL57" s="5"/>
      <c r="UM57" s="5"/>
      <c r="UN57" s="5"/>
      <c r="UO57" s="5"/>
      <c r="UP57" s="5"/>
      <c r="UQ57" s="5"/>
      <c r="UR57" s="5"/>
      <c r="US57" s="5"/>
      <c r="UT57" s="5"/>
      <c r="UU57" s="5"/>
      <c r="UV57" s="5"/>
      <c r="UW57" s="5"/>
      <c r="UX57" s="5"/>
      <c r="UY57" s="5"/>
      <c r="UZ57" s="5"/>
      <c r="VA57" s="5"/>
      <c r="VB57" s="5"/>
      <c r="VC57" s="5"/>
      <c r="VD57" s="5"/>
      <c r="VE57" s="5"/>
      <c r="VF57" s="5"/>
      <c r="VG57" s="5"/>
      <c r="VH57" s="5"/>
      <c r="VI57" s="5"/>
      <c r="VJ57" s="5"/>
      <c r="VK57" s="5"/>
      <c r="VL57" s="5"/>
      <c r="VM57" s="5"/>
      <c r="VN57" s="5"/>
      <c r="VO57" s="5"/>
      <c r="VP57" s="5"/>
      <c r="VQ57" s="5"/>
      <c r="VR57" s="5"/>
      <c r="VS57" s="5"/>
      <c r="VT57" s="5"/>
      <c r="VU57" s="5"/>
      <c r="VV57" s="5"/>
      <c r="VW57" s="5"/>
      <c r="VX57" s="5"/>
      <c r="VY57" s="5"/>
      <c r="VZ57" s="5"/>
      <c r="WA57" s="5"/>
      <c r="WB57" s="5"/>
      <c r="WC57" s="5"/>
      <c r="WD57" s="5"/>
      <c r="WE57" s="5"/>
      <c r="WF57" s="5"/>
      <c r="WG57" s="5"/>
      <c r="WH57" s="5"/>
      <c r="WI57" s="5"/>
      <c r="WJ57" s="5"/>
      <c r="WK57" s="5"/>
      <c r="WL57" s="5"/>
      <c r="WM57" s="5"/>
      <c r="WN57" s="5"/>
      <c r="WO57" s="5"/>
      <c r="WP57" s="5"/>
      <c r="WQ57" s="5"/>
      <c r="WR57" s="5"/>
      <c r="WS57" s="5"/>
      <c r="WT57" s="5"/>
      <c r="WU57" s="5"/>
      <c r="WV57" s="5"/>
      <c r="WW57" s="5"/>
      <c r="WX57" s="5"/>
      <c r="WY57" s="5"/>
      <c r="WZ57" s="5"/>
      <c r="XA57" s="5"/>
      <c r="XB57" s="5"/>
      <c r="XC57" s="5"/>
      <c r="XD57" s="5"/>
      <c r="XE57" s="5"/>
      <c r="XF57" s="5"/>
      <c r="XG57" s="5"/>
      <c r="XH57" s="5"/>
      <c r="XI57" s="5"/>
      <c r="XJ57" s="5"/>
      <c r="XK57" s="5"/>
      <c r="XL57" s="5"/>
      <c r="XM57" s="5"/>
      <c r="XN57" s="5"/>
      <c r="XO57" s="5"/>
      <c r="XP57" s="5"/>
      <c r="XQ57" s="5"/>
      <c r="XR57" s="5"/>
      <c r="XS57" s="5"/>
      <c r="XT57" s="5"/>
      <c r="XU57" s="5"/>
      <c r="XV57" s="5"/>
      <c r="XW57" s="5"/>
      <c r="XX57" s="5"/>
      <c r="XY57" s="5"/>
      <c r="XZ57" s="5"/>
      <c r="YA57" s="5"/>
      <c r="YB57" s="5"/>
      <c r="YC57" s="5"/>
      <c r="YD57" s="5"/>
      <c r="YE57" s="5"/>
      <c r="YF57" s="5"/>
      <c r="YG57" s="5"/>
      <c r="YH57" s="5"/>
      <c r="YI57" s="5"/>
      <c r="YJ57" s="5"/>
      <c r="YK57" s="5"/>
      <c r="YL57" s="5"/>
      <c r="YM57" s="5"/>
      <c r="YN57" s="5"/>
      <c r="YO57" s="5"/>
      <c r="YP57" s="5"/>
      <c r="YQ57" s="5"/>
      <c r="YR57" s="5"/>
      <c r="YS57" s="5"/>
      <c r="YT57" s="5"/>
      <c r="YU57" s="5"/>
      <c r="YV57" s="5"/>
      <c r="YW57" s="5"/>
      <c r="YX57" s="5"/>
      <c r="YY57" s="5"/>
      <c r="YZ57" s="5"/>
      <c r="ZA57" s="5"/>
      <c r="ZB57" s="5"/>
      <c r="ZC57" s="5"/>
      <c r="ZD57" s="5"/>
      <c r="ZE57" s="5"/>
      <c r="ZF57" s="5"/>
      <c r="ZG57" s="5"/>
      <c r="ZH57" s="5"/>
      <c r="ZI57" s="5"/>
      <c r="ZJ57" s="5"/>
      <c r="ZK57" s="5"/>
      <c r="ZL57" s="5"/>
      <c r="ZM57" s="5"/>
      <c r="ZN57" s="5"/>
      <c r="ZO57" s="5"/>
      <c r="ZP57" s="5"/>
      <c r="ZQ57" s="5"/>
      <c r="ZR57" s="5"/>
      <c r="ZS57" s="5"/>
      <c r="ZT57" s="5"/>
      <c r="ZU57" s="5"/>
      <c r="ZV57" s="5"/>
      <c r="ZW57" s="5"/>
      <c r="ZX57" s="5"/>
      <c r="ZY57" s="5"/>
      <c r="ZZ57" s="5"/>
      <c r="AAA57" s="5"/>
      <c r="AAB57" s="5"/>
      <c r="AAC57" s="5"/>
      <c r="AAD57" s="5"/>
      <c r="AAE57" s="5"/>
      <c r="AAF57" s="5"/>
      <c r="AAG57" s="5"/>
      <c r="AAH57" s="5"/>
      <c r="AAI57" s="5"/>
      <c r="AAJ57" s="5"/>
      <c r="AAK57" s="5"/>
      <c r="AAL57" s="5"/>
      <c r="AAM57" s="5"/>
      <c r="AAN57" s="5"/>
      <c r="AAO57" s="5"/>
      <c r="AAP57" s="5"/>
      <c r="AAQ57" s="5"/>
      <c r="AAR57" s="5"/>
      <c r="AAS57" s="5"/>
      <c r="AAT57" s="5"/>
      <c r="AAU57" s="5"/>
      <c r="AAV57" s="5"/>
      <c r="AAW57" s="5"/>
      <c r="AAX57" s="5"/>
      <c r="AAY57" s="5"/>
      <c r="AAZ57" s="5"/>
      <c r="ABA57" s="5"/>
      <c r="ABB57" s="5"/>
      <c r="ABC57" s="5"/>
      <c r="ABD57" s="5"/>
      <c r="ABE57" s="5"/>
      <c r="ABF57" s="5"/>
      <c r="ABG57" s="5"/>
      <c r="ABH57" s="5"/>
      <c r="ABI57" s="5"/>
      <c r="ABJ57" s="5"/>
      <c r="ABK57" s="5"/>
      <c r="ABL57" s="5"/>
      <c r="ABM57" s="5"/>
      <c r="ABN57" s="5"/>
      <c r="ABO57" s="5"/>
      <c r="ABP57" s="5"/>
      <c r="ABQ57" s="5"/>
      <c r="ABR57" s="5"/>
      <c r="ABS57" s="5"/>
      <c r="ABT57" s="5"/>
      <c r="ABU57" s="5"/>
      <c r="ABV57" s="5"/>
      <c r="ABW57" s="5"/>
      <c r="ABX57" s="5"/>
      <c r="ABY57" s="5"/>
      <c r="ABZ57" s="5"/>
      <c r="ACA57" s="5"/>
      <c r="ACB57" s="5"/>
      <c r="ACC57" s="5"/>
      <c r="ACD57" s="5"/>
      <c r="ACE57" s="5"/>
      <c r="ACF57" s="5"/>
      <c r="ACG57" s="5"/>
      <c r="ACH57" s="5"/>
      <c r="ACI57" s="5"/>
      <c r="ACJ57" s="5"/>
      <c r="ACK57" s="5"/>
      <c r="ACL57" s="5"/>
      <c r="ACM57" s="5"/>
      <c r="ACN57" s="5"/>
      <c r="ACO57" s="5"/>
      <c r="ACP57" s="5"/>
      <c r="ACQ57" s="5"/>
      <c r="ACR57" s="5"/>
      <c r="ACS57" s="5"/>
      <c r="ACT57" s="5"/>
      <c r="ACU57" s="5"/>
      <c r="ACV57" s="5"/>
      <c r="ACW57" s="5"/>
      <c r="ACX57" s="5"/>
      <c r="ACY57" s="5"/>
      <c r="ACZ57" s="5"/>
      <c r="ADA57" s="5"/>
      <c r="ADB57" s="5"/>
      <c r="ADC57" s="5"/>
      <c r="ADD57" s="5"/>
      <c r="ADE57" s="5"/>
      <c r="ADF57" s="5"/>
      <c r="ADG57" s="5"/>
      <c r="ADH57" s="5"/>
      <c r="ADI57" s="5"/>
      <c r="ADJ57" s="5"/>
      <c r="ADK57" s="5"/>
      <c r="ADL57" s="5"/>
      <c r="ADM57" s="5"/>
      <c r="ADN57" s="5"/>
      <c r="ADO57" s="5"/>
      <c r="ADP57" s="5"/>
      <c r="ADQ57" s="5"/>
      <c r="ADR57" s="5"/>
      <c r="ADS57" s="5"/>
      <c r="ADT57" s="5"/>
      <c r="ADU57" s="5"/>
      <c r="ADV57" s="5"/>
      <c r="ADW57" s="5"/>
      <c r="ADX57" s="5"/>
      <c r="ADY57" s="5"/>
      <c r="ADZ57" s="5"/>
      <c r="AEA57" s="5"/>
      <c r="AEB57" s="5"/>
      <c r="AEC57" s="5"/>
      <c r="AED57" s="5"/>
      <c r="AEE57" s="5"/>
      <c r="AEF57" s="5"/>
      <c r="AEG57" s="5"/>
      <c r="AEH57" s="5"/>
      <c r="AEI57" s="5"/>
      <c r="AEJ57" s="5"/>
      <c r="AEK57" s="5"/>
      <c r="AEL57" s="5"/>
      <c r="AEM57" s="5"/>
      <c r="AEN57" s="5"/>
      <c r="AEO57" s="5"/>
      <c r="AEP57" s="5"/>
      <c r="AEQ57" s="5"/>
      <c r="AER57" s="5"/>
      <c r="AES57" s="5"/>
      <c r="AET57" s="5"/>
      <c r="AEU57" s="5"/>
      <c r="AEV57" s="5"/>
      <c r="AEW57" s="5"/>
      <c r="AEX57" s="5"/>
      <c r="AEY57" s="5"/>
      <c r="AEZ57" s="5"/>
      <c r="AFA57" s="5"/>
      <c r="AFB57" s="5"/>
      <c r="AFC57" s="5"/>
      <c r="AFD57" s="5"/>
      <c r="AFE57" s="5"/>
      <c r="AFF57" s="5"/>
      <c r="AFG57" s="5"/>
      <c r="AFH57" s="5"/>
      <c r="AFI57" s="5"/>
      <c r="AFJ57" s="5"/>
      <c r="AFK57" s="5"/>
      <c r="AFL57" s="5"/>
      <c r="AFM57" s="5"/>
      <c r="AFN57" s="5"/>
      <c r="AFO57" s="5"/>
      <c r="AFP57" s="5"/>
      <c r="AFQ57" s="5"/>
      <c r="AFR57" s="5"/>
      <c r="AFS57" s="5"/>
      <c r="AFT57" s="5"/>
      <c r="AFU57" s="5"/>
      <c r="AFV57" s="5"/>
      <c r="AFW57" s="5"/>
      <c r="AFX57" s="5"/>
      <c r="AFY57" s="5"/>
      <c r="AFZ57" s="5"/>
      <c r="AGA57" s="5"/>
      <c r="AGB57" s="5"/>
      <c r="AGC57" s="5"/>
      <c r="AGD57" s="5"/>
      <c r="AGE57" s="5"/>
      <c r="AGF57" s="5"/>
      <c r="AGG57" s="5"/>
      <c r="AGH57" s="5"/>
      <c r="AGI57" s="5"/>
      <c r="AGJ57" s="5"/>
      <c r="AGK57" s="5"/>
      <c r="AGL57" s="5"/>
      <c r="AGM57" s="5"/>
      <c r="AGN57" s="5"/>
      <c r="AGO57" s="5"/>
      <c r="AGP57" s="5"/>
      <c r="AGQ57" s="5"/>
      <c r="AGR57" s="5"/>
      <c r="AGS57" s="5"/>
      <c r="AGT57" s="5"/>
      <c r="AGU57" s="5"/>
      <c r="AGV57" s="5"/>
      <c r="AGW57" s="5"/>
      <c r="AGX57" s="5"/>
      <c r="AGY57" s="5"/>
      <c r="AGZ57" s="5"/>
      <c r="AHA57" s="5"/>
      <c r="AHB57" s="5"/>
      <c r="AHC57" s="5"/>
      <c r="AHD57" s="5"/>
      <c r="AHE57" s="5"/>
      <c r="AHF57" s="5"/>
      <c r="AHG57" s="5"/>
      <c r="AHH57" s="5"/>
      <c r="AHI57" s="5"/>
      <c r="AHJ57" s="5"/>
      <c r="AHK57" s="5"/>
      <c r="AHL57" s="5"/>
      <c r="AHM57" s="5"/>
      <c r="AHN57" s="5"/>
      <c r="AHO57" s="5"/>
      <c r="AHP57" s="5"/>
      <c r="AHQ57" s="5"/>
      <c r="AHR57" s="5"/>
      <c r="AHS57" s="5"/>
      <c r="AHT57" s="5"/>
      <c r="AHU57" s="5"/>
      <c r="AHV57" s="5"/>
      <c r="AHW57" s="5"/>
      <c r="AHX57" s="5"/>
      <c r="AHY57" s="5"/>
      <c r="AHZ57" s="5"/>
      <c r="AIA57" s="5"/>
      <c r="AIB57" s="5"/>
      <c r="AIC57" s="5"/>
      <c r="AID57" s="5"/>
      <c r="AIE57" s="5"/>
      <c r="AIF57" s="5"/>
      <c r="AIG57" s="5"/>
      <c r="AIH57" s="5"/>
      <c r="AII57" s="5"/>
      <c r="AIJ57" s="5"/>
      <c r="AIK57" s="5"/>
      <c r="AIL57" s="5"/>
      <c r="AIM57" s="5"/>
      <c r="AIN57" s="5"/>
      <c r="AIO57" s="5"/>
      <c r="AIP57" s="5"/>
      <c r="AIQ57" s="5"/>
      <c r="AIR57" s="5"/>
      <c r="AIS57" s="5"/>
      <c r="AIT57" s="5"/>
      <c r="AIU57" s="5"/>
      <c r="AIV57" s="5"/>
      <c r="AIW57" s="5"/>
      <c r="AIX57" s="5"/>
      <c r="AIY57" s="5"/>
      <c r="AIZ57" s="5"/>
      <c r="AJA57" s="5"/>
      <c r="AJB57" s="5"/>
      <c r="AJC57" s="5"/>
      <c r="AJD57" s="5"/>
      <c r="AJE57" s="5"/>
      <c r="AJF57" s="5"/>
      <c r="AJG57" s="5"/>
      <c r="AJH57" s="5"/>
      <c r="AJI57" s="5"/>
      <c r="AJJ57" s="5"/>
      <c r="AJK57" s="5"/>
      <c r="AJL57" s="5"/>
      <c r="AJM57" s="5"/>
      <c r="AJN57" s="5"/>
      <c r="AJO57" s="5"/>
      <c r="AJP57" s="5"/>
      <c r="AJQ57" s="5"/>
      <c r="AJR57" s="5"/>
      <c r="AJS57" s="5"/>
      <c r="AJT57" s="5"/>
      <c r="AJU57" s="5"/>
      <c r="AJV57" s="5"/>
      <c r="AJW57" s="5"/>
      <c r="AJX57" s="5"/>
      <c r="AJY57" s="5"/>
      <c r="AJZ57" s="5"/>
      <c r="AKA57" s="5"/>
      <c r="AKB57" s="5"/>
      <c r="AKC57" s="5"/>
      <c r="AKD57" s="5"/>
      <c r="AKE57" s="5"/>
      <c r="AKF57" s="5"/>
      <c r="AKG57" s="5"/>
      <c r="AKH57" s="5"/>
      <c r="AKI57" s="5"/>
      <c r="AKJ57" s="5"/>
      <c r="AKK57" s="5"/>
      <c r="AKL57" s="5"/>
      <c r="AKM57" s="5"/>
      <c r="AKN57" s="5"/>
      <c r="AKO57" s="5"/>
      <c r="AKP57" s="5"/>
      <c r="AKQ57" s="5"/>
      <c r="AKR57" s="5"/>
      <c r="AKS57" s="5"/>
      <c r="AKT57" s="5"/>
      <c r="AKU57" s="5"/>
      <c r="AKV57" s="5"/>
      <c r="AKW57" s="5"/>
      <c r="AKX57" s="5"/>
      <c r="AKY57" s="5"/>
      <c r="AKZ57" s="5"/>
      <c r="ALA57" s="5"/>
      <c r="ALB57" s="5"/>
      <c r="ALC57" s="5"/>
      <c r="ALD57" s="5"/>
      <c r="ALE57" s="5"/>
      <c r="ALF57" s="5"/>
      <c r="ALG57" s="5"/>
      <c r="ALH57" s="5"/>
      <c r="ALI57" s="5"/>
      <c r="ALJ57" s="5"/>
      <c r="ALK57" s="5"/>
      <c r="ALL57" s="5"/>
      <c r="ALM57" s="5"/>
      <c r="ALN57" s="5"/>
      <c r="ALO57" s="5"/>
      <c r="ALP57" s="5"/>
      <c r="ALQ57" s="5"/>
      <c r="ALR57" s="5"/>
      <c r="ALS57" s="5"/>
      <c r="ALT57" s="5"/>
      <c r="ALU57" s="5"/>
      <c r="ALV57" s="5"/>
      <c r="ALW57" s="5"/>
      <c r="ALX57" s="5"/>
      <c r="ALY57" s="5"/>
      <c r="ALZ57" s="5"/>
      <c r="AMA57" s="5"/>
      <c r="AMB57" s="5"/>
      <c r="AMC57" s="5"/>
      <c r="AMD57" s="5"/>
      <c r="AME57" s="5"/>
    </row>
    <row r="58" spans="1:1019" ht="15" customHeight="1" x14ac:dyDescent="0.35">
      <c r="A58" s="87" t="s">
        <v>8</v>
      </c>
      <c r="B58" s="79"/>
      <c r="C58" s="76"/>
      <c r="D58" s="86" t="s">
        <v>43</v>
      </c>
      <c r="E58" s="77">
        <f t="shared" si="4"/>
        <v>5.0000000000000001E-4</v>
      </c>
      <c r="F58" s="77">
        <v>500</v>
      </c>
      <c r="G58" s="72"/>
      <c r="H58" s="76" t="str">
        <f>IF('User Defined Factors'!A81="User Defined Vehicle #2",'User Defined Factors'!A81,CONCATENATE("User Defined"," ",'User Defined Factors'!A81))</f>
        <v>User Defined Vehicle #2</v>
      </c>
      <c r="I58" s="77" t="str">
        <f>IF(ISBLANK('User Defined Factors'!C81)=TRUE,"ENTER DATA",'User Defined Factors'!C81)</f>
        <v>ENTER DATA</v>
      </c>
      <c r="J58" s="77" t="str">
        <f>IF(ISBLANK('User Defined Factors'!D81)=TRUE,"ENTER DATA",'User Defined Factors'!D81)</f>
        <v>ENTER DATA</v>
      </c>
      <c r="K58" s="77" t="str">
        <f>IF(ISBLANK('User Defined Factors'!E81)=TRUE,"ENTER DATA",'User Defined Factors'!E81)</f>
        <v>ENTER DATA</v>
      </c>
      <c r="L58" s="88"/>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c r="SK58" s="5"/>
      <c r="SL58" s="5"/>
      <c r="SM58" s="5"/>
      <c r="SN58" s="5"/>
      <c r="SO58" s="5"/>
      <c r="SP58" s="5"/>
      <c r="SQ58" s="5"/>
      <c r="SR58" s="5"/>
      <c r="SS58" s="5"/>
      <c r="ST58" s="5"/>
      <c r="SU58" s="5"/>
      <c r="SV58" s="5"/>
      <c r="SW58" s="5"/>
      <c r="SX58" s="5"/>
      <c r="SY58" s="5"/>
      <c r="SZ58" s="5"/>
      <c r="TA58" s="5"/>
      <c r="TB58" s="5"/>
      <c r="TC58" s="5"/>
      <c r="TD58" s="5"/>
      <c r="TE58" s="5"/>
      <c r="TF58" s="5"/>
      <c r="TG58" s="5"/>
      <c r="TH58" s="5"/>
      <c r="TI58" s="5"/>
      <c r="TJ58" s="5"/>
      <c r="TK58" s="5"/>
      <c r="TL58" s="5"/>
      <c r="TM58" s="5"/>
      <c r="TN58" s="5"/>
      <c r="TO58" s="5"/>
      <c r="TP58" s="5"/>
      <c r="TQ58" s="5"/>
      <c r="TR58" s="5"/>
      <c r="TS58" s="5"/>
      <c r="TT58" s="5"/>
      <c r="TU58" s="5"/>
      <c r="TV58" s="5"/>
      <c r="TW58" s="5"/>
      <c r="TX58" s="5"/>
      <c r="TY58" s="5"/>
      <c r="TZ58" s="5"/>
      <c r="UA58" s="5"/>
      <c r="UB58" s="5"/>
      <c r="UC58" s="5"/>
      <c r="UD58" s="5"/>
      <c r="UE58" s="5"/>
      <c r="UF58" s="5"/>
      <c r="UG58" s="5"/>
      <c r="UH58" s="5"/>
      <c r="UI58" s="5"/>
      <c r="UJ58" s="5"/>
      <c r="UK58" s="5"/>
      <c r="UL58" s="5"/>
      <c r="UM58" s="5"/>
      <c r="UN58" s="5"/>
      <c r="UO58" s="5"/>
      <c r="UP58" s="5"/>
      <c r="UQ58" s="5"/>
      <c r="UR58" s="5"/>
      <c r="US58" s="5"/>
      <c r="UT58" s="5"/>
      <c r="UU58" s="5"/>
      <c r="UV58" s="5"/>
      <c r="UW58" s="5"/>
      <c r="UX58" s="5"/>
      <c r="UY58" s="5"/>
      <c r="UZ58" s="5"/>
      <c r="VA58" s="5"/>
      <c r="VB58" s="5"/>
      <c r="VC58" s="5"/>
      <c r="VD58" s="5"/>
      <c r="VE58" s="5"/>
      <c r="VF58" s="5"/>
      <c r="VG58" s="5"/>
      <c r="VH58" s="5"/>
      <c r="VI58" s="5"/>
      <c r="VJ58" s="5"/>
      <c r="VK58" s="5"/>
      <c r="VL58" s="5"/>
      <c r="VM58" s="5"/>
      <c r="VN58" s="5"/>
      <c r="VO58" s="5"/>
      <c r="VP58" s="5"/>
      <c r="VQ58" s="5"/>
      <c r="VR58" s="5"/>
      <c r="VS58" s="5"/>
      <c r="VT58" s="5"/>
      <c r="VU58" s="5"/>
      <c r="VV58" s="5"/>
      <c r="VW58" s="5"/>
      <c r="VX58" s="5"/>
      <c r="VY58" s="5"/>
      <c r="VZ58" s="5"/>
      <c r="WA58" s="5"/>
      <c r="WB58" s="5"/>
      <c r="WC58" s="5"/>
      <c r="WD58" s="5"/>
      <c r="WE58" s="5"/>
      <c r="WF58" s="5"/>
      <c r="WG58" s="5"/>
      <c r="WH58" s="5"/>
      <c r="WI58" s="5"/>
      <c r="WJ58" s="5"/>
      <c r="WK58" s="5"/>
      <c r="WL58" s="5"/>
      <c r="WM58" s="5"/>
      <c r="WN58" s="5"/>
      <c r="WO58" s="5"/>
      <c r="WP58" s="5"/>
      <c r="WQ58" s="5"/>
      <c r="WR58" s="5"/>
      <c r="WS58" s="5"/>
      <c r="WT58" s="5"/>
      <c r="WU58" s="5"/>
      <c r="WV58" s="5"/>
      <c r="WW58" s="5"/>
      <c r="WX58" s="5"/>
      <c r="WY58" s="5"/>
      <c r="WZ58" s="5"/>
      <c r="XA58" s="5"/>
      <c r="XB58" s="5"/>
      <c r="XC58" s="5"/>
      <c r="XD58" s="5"/>
      <c r="XE58" s="5"/>
      <c r="XF58" s="5"/>
      <c r="XG58" s="5"/>
      <c r="XH58" s="5"/>
      <c r="XI58" s="5"/>
      <c r="XJ58" s="5"/>
      <c r="XK58" s="5"/>
      <c r="XL58" s="5"/>
      <c r="XM58" s="5"/>
      <c r="XN58" s="5"/>
      <c r="XO58" s="5"/>
      <c r="XP58" s="5"/>
      <c r="XQ58" s="5"/>
      <c r="XR58" s="5"/>
      <c r="XS58" s="5"/>
      <c r="XT58" s="5"/>
      <c r="XU58" s="5"/>
      <c r="XV58" s="5"/>
      <c r="XW58" s="5"/>
      <c r="XX58" s="5"/>
      <c r="XY58" s="5"/>
      <c r="XZ58" s="5"/>
      <c r="YA58" s="5"/>
      <c r="YB58" s="5"/>
      <c r="YC58" s="5"/>
      <c r="YD58" s="5"/>
      <c r="YE58" s="5"/>
      <c r="YF58" s="5"/>
      <c r="YG58" s="5"/>
      <c r="YH58" s="5"/>
      <c r="YI58" s="5"/>
      <c r="YJ58" s="5"/>
      <c r="YK58" s="5"/>
      <c r="YL58" s="5"/>
      <c r="YM58" s="5"/>
      <c r="YN58" s="5"/>
      <c r="YO58" s="5"/>
      <c r="YP58" s="5"/>
      <c r="YQ58" s="5"/>
      <c r="YR58" s="5"/>
      <c r="YS58" s="5"/>
      <c r="YT58" s="5"/>
      <c r="YU58" s="5"/>
      <c r="YV58" s="5"/>
      <c r="YW58" s="5"/>
      <c r="YX58" s="5"/>
      <c r="YY58" s="5"/>
      <c r="YZ58" s="5"/>
      <c r="ZA58" s="5"/>
      <c r="ZB58" s="5"/>
      <c r="ZC58" s="5"/>
      <c r="ZD58" s="5"/>
      <c r="ZE58" s="5"/>
      <c r="ZF58" s="5"/>
      <c r="ZG58" s="5"/>
      <c r="ZH58" s="5"/>
      <c r="ZI58" s="5"/>
      <c r="ZJ58" s="5"/>
      <c r="ZK58" s="5"/>
      <c r="ZL58" s="5"/>
      <c r="ZM58" s="5"/>
      <c r="ZN58" s="5"/>
      <c r="ZO58" s="5"/>
      <c r="ZP58" s="5"/>
      <c r="ZQ58" s="5"/>
      <c r="ZR58" s="5"/>
      <c r="ZS58" s="5"/>
      <c r="ZT58" s="5"/>
      <c r="ZU58" s="5"/>
      <c r="ZV58" s="5"/>
      <c r="ZW58" s="5"/>
      <c r="ZX58" s="5"/>
      <c r="ZY58" s="5"/>
      <c r="ZZ58" s="5"/>
      <c r="AAA58" s="5"/>
      <c r="AAB58" s="5"/>
      <c r="AAC58" s="5"/>
      <c r="AAD58" s="5"/>
      <c r="AAE58" s="5"/>
      <c r="AAF58" s="5"/>
      <c r="AAG58" s="5"/>
      <c r="AAH58" s="5"/>
      <c r="AAI58" s="5"/>
      <c r="AAJ58" s="5"/>
      <c r="AAK58" s="5"/>
      <c r="AAL58" s="5"/>
      <c r="AAM58" s="5"/>
      <c r="AAN58" s="5"/>
      <c r="AAO58" s="5"/>
      <c r="AAP58" s="5"/>
      <c r="AAQ58" s="5"/>
      <c r="AAR58" s="5"/>
      <c r="AAS58" s="5"/>
      <c r="AAT58" s="5"/>
      <c r="AAU58" s="5"/>
      <c r="AAV58" s="5"/>
      <c r="AAW58" s="5"/>
      <c r="AAX58" s="5"/>
      <c r="AAY58" s="5"/>
      <c r="AAZ58" s="5"/>
      <c r="ABA58" s="5"/>
      <c r="ABB58" s="5"/>
      <c r="ABC58" s="5"/>
      <c r="ABD58" s="5"/>
      <c r="ABE58" s="5"/>
      <c r="ABF58" s="5"/>
      <c r="ABG58" s="5"/>
      <c r="ABH58" s="5"/>
      <c r="ABI58" s="5"/>
      <c r="ABJ58" s="5"/>
      <c r="ABK58" s="5"/>
      <c r="ABL58" s="5"/>
      <c r="ABM58" s="5"/>
      <c r="ABN58" s="5"/>
      <c r="ABO58" s="5"/>
      <c r="ABP58" s="5"/>
      <c r="ABQ58" s="5"/>
      <c r="ABR58" s="5"/>
      <c r="ABS58" s="5"/>
      <c r="ABT58" s="5"/>
      <c r="ABU58" s="5"/>
      <c r="ABV58" s="5"/>
      <c r="ABW58" s="5"/>
      <c r="ABX58" s="5"/>
      <c r="ABY58" s="5"/>
      <c r="ABZ58" s="5"/>
      <c r="ACA58" s="5"/>
      <c r="ACB58" s="5"/>
      <c r="ACC58" s="5"/>
      <c r="ACD58" s="5"/>
      <c r="ACE58" s="5"/>
      <c r="ACF58" s="5"/>
      <c r="ACG58" s="5"/>
      <c r="ACH58" s="5"/>
      <c r="ACI58" s="5"/>
      <c r="ACJ58" s="5"/>
      <c r="ACK58" s="5"/>
      <c r="ACL58" s="5"/>
      <c r="ACM58" s="5"/>
      <c r="ACN58" s="5"/>
      <c r="ACO58" s="5"/>
      <c r="ACP58" s="5"/>
      <c r="ACQ58" s="5"/>
      <c r="ACR58" s="5"/>
      <c r="ACS58" s="5"/>
      <c r="ACT58" s="5"/>
      <c r="ACU58" s="5"/>
      <c r="ACV58" s="5"/>
      <c r="ACW58" s="5"/>
      <c r="ACX58" s="5"/>
      <c r="ACY58" s="5"/>
      <c r="ACZ58" s="5"/>
      <c r="ADA58" s="5"/>
      <c r="ADB58" s="5"/>
      <c r="ADC58" s="5"/>
      <c r="ADD58" s="5"/>
      <c r="ADE58" s="5"/>
      <c r="ADF58" s="5"/>
      <c r="ADG58" s="5"/>
      <c r="ADH58" s="5"/>
      <c r="ADI58" s="5"/>
      <c r="ADJ58" s="5"/>
      <c r="ADK58" s="5"/>
      <c r="ADL58" s="5"/>
      <c r="ADM58" s="5"/>
      <c r="ADN58" s="5"/>
      <c r="ADO58" s="5"/>
      <c r="ADP58" s="5"/>
      <c r="ADQ58" s="5"/>
      <c r="ADR58" s="5"/>
      <c r="ADS58" s="5"/>
      <c r="ADT58" s="5"/>
      <c r="ADU58" s="5"/>
      <c r="ADV58" s="5"/>
      <c r="ADW58" s="5"/>
      <c r="ADX58" s="5"/>
      <c r="ADY58" s="5"/>
      <c r="ADZ58" s="5"/>
      <c r="AEA58" s="5"/>
      <c r="AEB58" s="5"/>
      <c r="AEC58" s="5"/>
      <c r="AED58" s="5"/>
      <c r="AEE58" s="5"/>
      <c r="AEF58" s="5"/>
      <c r="AEG58" s="5"/>
      <c r="AEH58" s="5"/>
      <c r="AEI58" s="5"/>
      <c r="AEJ58" s="5"/>
      <c r="AEK58" s="5"/>
      <c r="AEL58" s="5"/>
      <c r="AEM58" s="5"/>
      <c r="AEN58" s="5"/>
      <c r="AEO58" s="5"/>
      <c r="AEP58" s="5"/>
      <c r="AEQ58" s="5"/>
      <c r="AER58" s="5"/>
      <c r="AES58" s="5"/>
      <c r="AET58" s="5"/>
      <c r="AEU58" s="5"/>
      <c r="AEV58" s="5"/>
      <c r="AEW58" s="5"/>
      <c r="AEX58" s="5"/>
      <c r="AEY58" s="5"/>
      <c r="AEZ58" s="5"/>
      <c r="AFA58" s="5"/>
      <c r="AFB58" s="5"/>
      <c r="AFC58" s="5"/>
      <c r="AFD58" s="5"/>
      <c r="AFE58" s="5"/>
      <c r="AFF58" s="5"/>
      <c r="AFG58" s="5"/>
      <c r="AFH58" s="5"/>
      <c r="AFI58" s="5"/>
      <c r="AFJ58" s="5"/>
      <c r="AFK58" s="5"/>
      <c r="AFL58" s="5"/>
      <c r="AFM58" s="5"/>
      <c r="AFN58" s="5"/>
      <c r="AFO58" s="5"/>
      <c r="AFP58" s="5"/>
      <c r="AFQ58" s="5"/>
      <c r="AFR58" s="5"/>
      <c r="AFS58" s="5"/>
      <c r="AFT58" s="5"/>
      <c r="AFU58" s="5"/>
      <c r="AFV58" s="5"/>
      <c r="AFW58" s="5"/>
      <c r="AFX58" s="5"/>
      <c r="AFY58" s="5"/>
      <c r="AFZ58" s="5"/>
      <c r="AGA58" s="5"/>
      <c r="AGB58" s="5"/>
      <c r="AGC58" s="5"/>
      <c r="AGD58" s="5"/>
      <c r="AGE58" s="5"/>
      <c r="AGF58" s="5"/>
      <c r="AGG58" s="5"/>
      <c r="AGH58" s="5"/>
      <c r="AGI58" s="5"/>
      <c r="AGJ58" s="5"/>
      <c r="AGK58" s="5"/>
      <c r="AGL58" s="5"/>
      <c r="AGM58" s="5"/>
      <c r="AGN58" s="5"/>
      <c r="AGO58" s="5"/>
      <c r="AGP58" s="5"/>
      <c r="AGQ58" s="5"/>
      <c r="AGR58" s="5"/>
      <c r="AGS58" s="5"/>
      <c r="AGT58" s="5"/>
      <c r="AGU58" s="5"/>
      <c r="AGV58" s="5"/>
      <c r="AGW58" s="5"/>
      <c r="AGX58" s="5"/>
      <c r="AGY58" s="5"/>
      <c r="AGZ58" s="5"/>
      <c r="AHA58" s="5"/>
      <c r="AHB58" s="5"/>
      <c r="AHC58" s="5"/>
      <c r="AHD58" s="5"/>
      <c r="AHE58" s="5"/>
      <c r="AHF58" s="5"/>
      <c r="AHG58" s="5"/>
      <c r="AHH58" s="5"/>
      <c r="AHI58" s="5"/>
      <c r="AHJ58" s="5"/>
      <c r="AHK58" s="5"/>
      <c r="AHL58" s="5"/>
      <c r="AHM58" s="5"/>
      <c r="AHN58" s="5"/>
      <c r="AHO58" s="5"/>
      <c r="AHP58" s="5"/>
      <c r="AHQ58" s="5"/>
      <c r="AHR58" s="5"/>
      <c r="AHS58" s="5"/>
      <c r="AHT58" s="5"/>
      <c r="AHU58" s="5"/>
      <c r="AHV58" s="5"/>
      <c r="AHW58" s="5"/>
      <c r="AHX58" s="5"/>
      <c r="AHY58" s="5"/>
      <c r="AHZ58" s="5"/>
      <c r="AIA58" s="5"/>
      <c r="AIB58" s="5"/>
      <c r="AIC58" s="5"/>
      <c r="AID58" s="5"/>
      <c r="AIE58" s="5"/>
      <c r="AIF58" s="5"/>
      <c r="AIG58" s="5"/>
      <c r="AIH58" s="5"/>
      <c r="AII58" s="5"/>
      <c r="AIJ58" s="5"/>
      <c r="AIK58" s="5"/>
      <c r="AIL58" s="5"/>
      <c r="AIM58" s="5"/>
      <c r="AIN58" s="5"/>
      <c r="AIO58" s="5"/>
      <c r="AIP58" s="5"/>
      <c r="AIQ58" s="5"/>
      <c r="AIR58" s="5"/>
      <c r="AIS58" s="5"/>
      <c r="AIT58" s="5"/>
      <c r="AIU58" s="5"/>
      <c r="AIV58" s="5"/>
      <c r="AIW58" s="5"/>
      <c r="AIX58" s="5"/>
      <c r="AIY58" s="5"/>
      <c r="AIZ58" s="5"/>
      <c r="AJA58" s="5"/>
      <c r="AJB58" s="5"/>
      <c r="AJC58" s="5"/>
      <c r="AJD58" s="5"/>
      <c r="AJE58" s="5"/>
      <c r="AJF58" s="5"/>
      <c r="AJG58" s="5"/>
      <c r="AJH58" s="5"/>
      <c r="AJI58" s="5"/>
      <c r="AJJ58" s="5"/>
      <c r="AJK58" s="5"/>
      <c r="AJL58" s="5"/>
      <c r="AJM58" s="5"/>
      <c r="AJN58" s="5"/>
      <c r="AJO58" s="5"/>
      <c r="AJP58" s="5"/>
      <c r="AJQ58" s="5"/>
      <c r="AJR58" s="5"/>
      <c r="AJS58" s="5"/>
      <c r="AJT58" s="5"/>
      <c r="AJU58" s="5"/>
      <c r="AJV58" s="5"/>
      <c r="AJW58" s="5"/>
      <c r="AJX58" s="5"/>
      <c r="AJY58" s="5"/>
      <c r="AJZ58" s="5"/>
      <c r="AKA58" s="5"/>
      <c r="AKB58" s="5"/>
      <c r="AKC58" s="5"/>
      <c r="AKD58" s="5"/>
      <c r="AKE58" s="5"/>
      <c r="AKF58" s="5"/>
      <c r="AKG58" s="5"/>
      <c r="AKH58" s="5"/>
      <c r="AKI58" s="5"/>
      <c r="AKJ58" s="5"/>
      <c r="AKK58" s="5"/>
      <c r="AKL58" s="5"/>
      <c r="AKM58" s="5"/>
      <c r="AKN58" s="5"/>
      <c r="AKO58" s="5"/>
      <c r="AKP58" s="5"/>
      <c r="AKQ58" s="5"/>
      <c r="AKR58" s="5"/>
      <c r="AKS58" s="5"/>
      <c r="AKT58" s="5"/>
      <c r="AKU58" s="5"/>
      <c r="AKV58" s="5"/>
      <c r="AKW58" s="5"/>
      <c r="AKX58" s="5"/>
      <c r="AKY58" s="5"/>
      <c r="AKZ58" s="5"/>
      <c r="ALA58" s="5"/>
      <c r="ALB58" s="5"/>
      <c r="ALC58" s="5"/>
      <c r="ALD58" s="5"/>
      <c r="ALE58" s="5"/>
      <c r="ALF58" s="5"/>
      <c r="ALG58" s="5"/>
      <c r="ALH58" s="5"/>
      <c r="ALI58" s="5"/>
      <c r="ALJ58" s="5"/>
      <c r="ALK58" s="5"/>
      <c r="ALL58" s="5"/>
      <c r="ALM58" s="5"/>
      <c r="ALN58" s="5"/>
      <c r="ALO58" s="5"/>
      <c r="ALP58" s="5"/>
      <c r="ALQ58" s="5"/>
      <c r="ALR58" s="5"/>
      <c r="ALS58" s="5"/>
      <c r="ALT58" s="5"/>
      <c r="ALU58" s="5"/>
      <c r="ALV58" s="5"/>
      <c r="ALW58" s="5"/>
      <c r="ALX58" s="5"/>
      <c r="ALY58" s="5"/>
      <c r="ALZ58" s="5"/>
      <c r="AMA58" s="5"/>
      <c r="AMB58" s="5"/>
      <c r="AMC58" s="5"/>
      <c r="AMD58" s="5"/>
      <c r="AME58" s="5"/>
    </row>
    <row r="59" spans="1:1019" ht="15" customHeight="1" x14ac:dyDescent="0.35">
      <c r="A59" s="87" t="s">
        <v>44</v>
      </c>
      <c r="B59" s="79"/>
      <c r="C59" s="76"/>
      <c r="D59" s="86" t="s">
        <v>39</v>
      </c>
      <c r="E59" s="77">
        <f>0.25/2000</f>
        <v>1.25E-4</v>
      </c>
      <c r="F59" s="77">
        <v>1000</v>
      </c>
      <c r="G59" s="72"/>
      <c r="H59" s="76" t="str">
        <f>IF('User Defined Factors'!A82="User Defined Vehicle #3",'User Defined Factors'!A82,CONCATENATE("User Defined"," ",'User Defined Factors'!A82))</f>
        <v>User Defined Vehicle #3</v>
      </c>
      <c r="I59" s="77" t="str">
        <f>IF(ISBLANK('User Defined Factors'!C82)=TRUE,"ENTER DATA",'User Defined Factors'!C82)</f>
        <v>ENTER DATA</v>
      </c>
      <c r="J59" s="77" t="str">
        <f>IF(ISBLANK('User Defined Factors'!D82)=TRUE,"ENTER DATA",'User Defined Factors'!D82)</f>
        <v>ENTER DATA</v>
      </c>
      <c r="K59" s="77" t="str">
        <f>IF(ISBLANK('User Defined Factors'!E82)=TRUE,"ENTER DATA",'User Defined Factors'!E82)</f>
        <v>ENTER DATA</v>
      </c>
      <c r="L59" s="88"/>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c r="SK59" s="5"/>
      <c r="SL59" s="5"/>
      <c r="SM59" s="5"/>
      <c r="SN59" s="5"/>
      <c r="SO59" s="5"/>
      <c r="SP59" s="5"/>
      <c r="SQ59" s="5"/>
      <c r="SR59" s="5"/>
      <c r="SS59" s="5"/>
      <c r="ST59" s="5"/>
      <c r="SU59" s="5"/>
      <c r="SV59" s="5"/>
      <c r="SW59" s="5"/>
      <c r="SX59" s="5"/>
      <c r="SY59" s="5"/>
      <c r="SZ59" s="5"/>
      <c r="TA59" s="5"/>
      <c r="TB59" s="5"/>
      <c r="TC59" s="5"/>
      <c r="TD59" s="5"/>
      <c r="TE59" s="5"/>
      <c r="TF59" s="5"/>
      <c r="TG59" s="5"/>
      <c r="TH59" s="5"/>
      <c r="TI59" s="5"/>
      <c r="TJ59" s="5"/>
      <c r="TK59" s="5"/>
      <c r="TL59" s="5"/>
      <c r="TM59" s="5"/>
      <c r="TN59" s="5"/>
      <c r="TO59" s="5"/>
      <c r="TP59" s="5"/>
      <c r="TQ59" s="5"/>
      <c r="TR59" s="5"/>
      <c r="TS59" s="5"/>
      <c r="TT59" s="5"/>
      <c r="TU59" s="5"/>
      <c r="TV59" s="5"/>
      <c r="TW59" s="5"/>
      <c r="TX59" s="5"/>
      <c r="TY59" s="5"/>
      <c r="TZ59" s="5"/>
      <c r="UA59" s="5"/>
      <c r="UB59" s="5"/>
      <c r="UC59" s="5"/>
      <c r="UD59" s="5"/>
      <c r="UE59" s="5"/>
      <c r="UF59" s="5"/>
      <c r="UG59" s="5"/>
      <c r="UH59" s="5"/>
      <c r="UI59" s="5"/>
      <c r="UJ59" s="5"/>
      <c r="UK59" s="5"/>
      <c r="UL59" s="5"/>
      <c r="UM59" s="5"/>
      <c r="UN59" s="5"/>
      <c r="UO59" s="5"/>
      <c r="UP59" s="5"/>
      <c r="UQ59" s="5"/>
      <c r="UR59" s="5"/>
      <c r="US59" s="5"/>
      <c r="UT59" s="5"/>
      <c r="UU59" s="5"/>
      <c r="UV59" s="5"/>
      <c r="UW59" s="5"/>
      <c r="UX59" s="5"/>
      <c r="UY59" s="5"/>
      <c r="UZ59" s="5"/>
      <c r="VA59" s="5"/>
      <c r="VB59" s="5"/>
      <c r="VC59" s="5"/>
      <c r="VD59" s="5"/>
      <c r="VE59" s="5"/>
      <c r="VF59" s="5"/>
      <c r="VG59" s="5"/>
      <c r="VH59" s="5"/>
      <c r="VI59" s="5"/>
      <c r="VJ59" s="5"/>
      <c r="VK59" s="5"/>
      <c r="VL59" s="5"/>
      <c r="VM59" s="5"/>
      <c r="VN59" s="5"/>
      <c r="VO59" s="5"/>
      <c r="VP59" s="5"/>
      <c r="VQ59" s="5"/>
      <c r="VR59" s="5"/>
      <c r="VS59" s="5"/>
      <c r="VT59" s="5"/>
      <c r="VU59" s="5"/>
      <c r="VV59" s="5"/>
      <c r="VW59" s="5"/>
      <c r="VX59" s="5"/>
      <c r="VY59" s="5"/>
      <c r="VZ59" s="5"/>
      <c r="WA59" s="5"/>
      <c r="WB59" s="5"/>
      <c r="WC59" s="5"/>
      <c r="WD59" s="5"/>
      <c r="WE59" s="5"/>
      <c r="WF59" s="5"/>
      <c r="WG59" s="5"/>
      <c r="WH59" s="5"/>
      <c r="WI59" s="5"/>
      <c r="WJ59" s="5"/>
      <c r="WK59" s="5"/>
      <c r="WL59" s="5"/>
      <c r="WM59" s="5"/>
      <c r="WN59" s="5"/>
      <c r="WO59" s="5"/>
      <c r="WP59" s="5"/>
      <c r="WQ59" s="5"/>
      <c r="WR59" s="5"/>
      <c r="WS59" s="5"/>
      <c r="WT59" s="5"/>
      <c r="WU59" s="5"/>
      <c r="WV59" s="5"/>
      <c r="WW59" s="5"/>
      <c r="WX59" s="5"/>
      <c r="WY59" s="5"/>
      <c r="WZ59" s="5"/>
      <c r="XA59" s="5"/>
      <c r="XB59" s="5"/>
      <c r="XC59" s="5"/>
      <c r="XD59" s="5"/>
      <c r="XE59" s="5"/>
      <c r="XF59" s="5"/>
      <c r="XG59" s="5"/>
      <c r="XH59" s="5"/>
      <c r="XI59" s="5"/>
      <c r="XJ59" s="5"/>
      <c r="XK59" s="5"/>
      <c r="XL59" s="5"/>
      <c r="XM59" s="5"/>
      <c r="XN59" s="5"/>
      <c r="XO59" s="5"/>
      <c r="XP59" s="5"/>
      <c r="XQ59" s="5"/>
      <c r="XR59" s="5"/>
      <c r="XS59" s="5"/>
      <c r="XT59" s="5"/>
      <c r="XU59" s="5"/>
      <c r="XV59" s="5"/>
      <c r="XW59" s="5"/>
      <c r="XX59" s="5"/>
      <c r="XY59" s="5"/>
      <c r="XZ59" s="5"/>
      <c r="YA59" s="5"/>
      <c r="YB59" s="5"/>
      <c r="YC59" s="5"/>
      <c r="YD59" s="5"/>
      <c r="YE59" s="5"/>
      <c r="YF59" s="5"/>
      <c r="YG59" s="5"/>
      <c r="YH59" s="5"/>
      <c r="YI59" s="5"/>
      <c r="YJ59" s="5"/>
      <c r="YK59" s="5"/>
      <c r="YL59" s="5"/>
      <c r="YM59" s="5"/>
      <c r="YN59" s="5"/>
      <c r="YO59" s="5"/>
      <c r="YP59" s="5"/>
      <c r="YQ59" s="5"/>
      <c r="YR59" s="5"/>
      <c r="YS59" s="5"/>
      <c r="YT59" s="5"/>
      <c r="YU59" s="5"/>
      <c r="YV59" s="5"/>
      <c r="YW59" s="5"/>
      <c r="YX59" s="5"/>
      <c r="YY59" s="5"/>
      <c r="YZ59" s="5"/>
      <c r="ZA59" s="5"/>
      <c r="ZB59" s="5"/>
      <c r="ZC59" s="5"/>
      <c r="ZD59" s="5"/>
      <c r="ZE59" s="5"/>
      <c r="ZF59" s="5"/>
      <c r="ZG59" s="5"/>
      <c r="ZH59" s="5"/>
      <c r="ZI59" s="5"/>
      <c r="ZJ59" s="5"/>
      <c r="ZK59" s="5"/>
      <c r="ZL59" s="5"/>
      <c r="ZM59" s="5"/>
      <c r="ZN59" s="5"/>
      <c r="ZO59" s="5"/>
      <c r="ZP59" s="5"/>
      <c r="ZQ59" s="5"/>
      <c r="ZR59" s="5"/>
      <c r="ZS59" s="5"/>
      <c r="ZT59" s="5"/>
      <c r="ZU59" s="5"/>
      <c r="ZV59" s="5"/>
      <c r="ZW59" s="5"/>
      <c r="ZX59" s="5"/>
      <c r="ZY59" s="5"/>
      <c r="ZZ59" s="5"/>
      <c r="AAA59" s="5"/>
      <c r="AAB59" s="5"/>
      <c r="AAC59" s="5"/>
      <c r="AAD59" s="5"/>
      <c r="AAE59" s="5"/>
      <c r="AAF59" s="5"/>
      <c r="AAG59" s="5"/>
      <c r="AAH59" s="5"/>
      <c r="AAI59" s="5"/>
      <c r="AAJ59" s="5"/>
      <c r="AAK59" s="5"/>
      <c r="AAL59" s="5"/>
      <c r="AAM59" s="5"/>
      <c r="AAN59" s="5"/>
      <c r="AAO59" s="5"/>
      <c r="AAP59" s="5"/>
      <c r="AAQ59" s="5"/>
      <c r="AAR59" s="5"/>
      <c r="AAS59" s="5"/>
      <c r="AAT59" s="5"/>
      <c r="AAU59" s="5"/>
      <c r="AAV59" s="5"/>
      <c r="AAW59" s="5"/>
      <c r="AAX59" s="5"/>
      <c r="AAY59" s="5"/>
      <c r="AAZ59" s="5"/>
      <c r="ABA59" s="5"/>
      <c r="ABB59" s="5"/>
      <c r="ABC59" s="5"/>
      <c r="ABD59" s="5"/>
      <c r="ABE59" s="5"/>
      <c r="ABF59" s="5"/>
      <c r="ABG59" s="5"/>
      <c r="ABH59" s="5"/>
      <c r="ABI59" s="5"/>
      <c r="ABJ59" s="5"/>
      <c r="ABK59" s="5"/>
      <c r="ABL59" s="5"/>
      <c r="ABM59" s="5"/>
      <c r="ABN59" s="5"/>
      <c r="ABO59" s="5"/>
      <c r="ABP59" s="5"/>
      <c r="ABQ59" s="5"/>
      <c r="ABR59" s="5"/>
      <c r="ABS59" s="5"/>
      <c r="ABT59" s="5"/>
      <c r="ABU59" s="5"/>
      <c r="ABV59" s="5"/>
      <c r="ABW59" s="5"/>
      <c r="ABX59" s="5"/>
      <c r="ABY59" s="5"/>
      <c r="ABZ59" s="5"/>
      <c r="ACA59" s="5"/>
      <c r="ACB59" s="5"/>
      <c r="ACC59" s="5"/>
      <c r="ACD59" s="5"/>
      <c r="ACE59" s="5"/>
      <c r="ACF59" s="5"/>
      <c r="ACG59" s="5"/>
      <c r="ACH59" s="5"/>
      <c r="ACI59" s="5"/>
      <c r="ACJ59" s="5"/>
      <c r="ACK59" s="5"/>
      <c r="ACL59" s="5"/>
      <c r="ACM59" s="5"/>
      <c r="ACN59" s="5"/>
      <c r="ACO59" s="5"/>
      <c r="ACP59" s="5"/>
      <c r="ACQ59" s="5"/>
      <c r="ACR59" s="5"/>
      <c r="ACS59" s="5"/>
      <c r="ACT59" s="5"/>
      <c r="ACU59" s="5"/>
      <c r="ACV59" s="5"/>
      <c r="ACW59" s="5"/>
      <c r="ACX59" s="5"/>
      <c r="ACY59" s="5"/>
      <c r="ACZ59" s="5"/>
      <c r="ADA59" s="5"/>
      <c r="ADB59" s="5"/>
      <c r="ADC59" s="5"/>
      <c r="ADD59" s="5"/>
      <c r="ADE59" s="5"/>
      <c r="ADF59" s="5"/>
      <c r="ADG59" s="5"/>
      <c r="ADH59" s="5"/>
      <c r="ADI59" s="5"/>
      <c r="ADJ59" s="5"/>
      <c r="ADK59" s="5"/>
      <c r="ADL59" s="5"/>
      <c r="ADM59" s="5"/>
      <c r="ADN59" s="5"/>
      <c r="ADO59" s="5"/>
      <c r="ADP59" s="5"/>
      <c r="ADQ59" s="5"/>
      <c r="ADR59" s="5"/>
      <c r="ADS59" s="5"/>
      <c r="ADT59" s="5"/>
      <c r="ADU59" s="5"/>
      <c r="ADV59" s="5"/>
      <c r="ADW59" s="5"/>
      <c r="ADX59" s="5"/>
      <c r="ADY59" s="5"/>
      <c r="ADZ59" s="5"/>
      <c r="AEA59" s="5"/>
      <c r="AEB59" s="5"/>
      <c r="AEC59" s="5"/>
      <c r="AED59" s="5"/>
      <c r="AEE59" s="5"/>
      <c r="AEF59" s="5"/>
      <c r="AEG59" s="5"/>
      <c r="AEH59" s="5"/>
      <c r="AEI59" s="5"/>
      <c r="AEJ59" s="5"/>
      <c r="AEK59" s="5"/>
      <c r="AEL59" s="5"/>
      <c r="AEM59" s="5"/>
      <c r="AEN59" s="5"/>
      <c r="AEO59" s="5"/>
      <c r="AEP59" s="5"/>
      <c r="AEQ59" s="5"/>
      <c r="AER59" s="5"/>
      <c r="AES59" s="5"/>
      <c r="AET59" s="5"/>
      <c r="AEU59" s="5"/>
      <c r="AEV59" s="5"/>
      <c r="AEW59" s="5"/>
      <c r="AEX59" s="5"/>
      <c r="AEY59" s="5"/>
      <c r="AEZ59" s="5"/>
      <c r="AFA59" s="5"/>
      <c r="AFB59" s="5"/>
      <c r="AFC59" s="5"/>
      <c r="AFD59" s="5"/>
      <c r="AFE59" s="5"/>
      <c r="AFF59" s="5"/>
      <c r="AFG59" s="5"/>
      <c r="AFH59" s="5"/>
      <c r="AFI59" s="5"/>
      <c r="AFJ59" s="5"/>
      <c r="AFK59" s="5"/>
      <c r="AFL59" s="5"/>
      <c r="AFM59" s="5"/>
      <c r="AFN59" s="5"/>
      <c r="AFO59" s="5"/>
      <c r="AFP59" s="5"/>
      <c r="AFQ59" s="5"/>
      <c r="AFR59" s="5"/>
      <c r="AFS59" s="5"/>
      <c r="AFT59" s="5"/>
      <c r="AFU59" s="5"/>
      <c r="AFV59" s="5"/>
      <c r="AFW59" s="5"/>
      <c r="AFX59" s="5"/>
      <c r="AFY59" s="5"/>
      <c r="AFZ59" s="5"/>
      <c r="AGA59" s="5"/>
      <c r="AGB59" s="5"/>
      <c r="AGC59" s="5"/>
      <c r="AGD59" s="5"/>
      <c r="AGE59" s="5"/>
      <c r="AGF59" s="5"/>
      <c r="AGG59" s="5"/>
      <c r="AGH59" s="5"/>
      <c r="AGI59" s="5"/>
      <c r="AGJ59" s="5"/>
      <c r="AGK59" s="5"/>
      <c r="AGL59" s="5"/>
      <c r="AGM59" s="5"/>
      <c r="AGN59" s="5"/>
      <c r="AGO59" s="5"/>
      <c r="AGP59" s="5"/>
      <c r="AGQ59" s="5"/>
      <c r="AGR59" s="5"/>
      <c r="AGS59" s="5"/>
      <c r="AGT59" s="5"/>
      <c r="AGU59" s="5"/>
      <c r="AGV59" s="5"/>
      <c r="AGW59" s="5"/>
      <c r="AGX59" s="5"/>
      <c r="AGY59" s="5"/>
      <c r="AGZ59" s="5"/>
      <c r="AHA59" s="5"/>
      <c r="AHB59" s="5"/>
      <c r="AHC59" s="5"/>
      <c r="AHD59" s="5"/>
      <c r="AHE59" s="5"/>
      <c r="AHF59" s="5"/>
      <c r="AHG59" s="5"/>
      <c r="AHH59" s="5"/>
      <c r="AHI59" s="5"/>
      <c r="AHJ59" s="5"/>
      <c r="AHK59" s="5"/>
      <c r="AHL59" s="5"/>
      <c r="AHM59" s="5"/>
      <c r="AHN59" s="5"/>
      <c r="AHO59" s="5"/>
      <c r="AHP59" s="5"/>
      <c r="AHQ59" s="5"/>
      <c r="AHR59" s="5"/>
      <c r="AHS59" s="5"/>
      <c r="AHT59" s="5"/>
      <c r="AHU59" s="5"/>
      <c r="AHV59" s="5"/>
      <c r="AHW59" s="5"/>
      <c r="AHX59" s="5"/>
      <c r="AHY59" s="5"/>
      <c r="AHZ59" s="5"/>
      <c r="AIA59" s="5"/>
      <c r="AIB59" s="5"/>
      <c r="AIC59" s="5"/>
      <c r="AID59" s="5"/>
      <c r="AIE59" s="5"/>
      <c r="AIF59" s="5"/>
      <c r="AIG59" s="5"/>
      <c r="AIH59" s="5"/>
      <c r="AII59" s="5"/>
      <c r="AIJ59" s="5"/>
      <c r="AIK59" s="5"/>
      <c r="AIL59" s="5"/>
      <c r="AIM59" s="5"/>
      <c r="AIN59" s="5"/>
      <c r="AIO59" s="5"/>
      <c r="AIP59" s="5"/>
      <c r="AIQ59" s="5"/>
      <c r="AIR59" s="5"/>
      <c r="AIS59" s="5"/>
      <c r="AIT59" s="5"/>
      <c r="AIU59" s="5"/>
      <c r="AIV59" s="5"/>
      <c r="AIW59" s="5"/>
      <c r="AIX59" s="5"/>
      <c r="AIY59" s="5"/>
      <c r="AIZ59" s="5"/>
      <c r="AJA59" s="5"/>
      <c r="AJB59" s="5"/>
      <c r="AJC59" s="5"/>
      <c r="AJD59" s="5"/>
      <c r="AJE59" s="5"/>
      <c r="AJF59" s="5"/>
      <c r="AJG59" s="5"/>
      <c r="AJH59" s="5"/>
      <c r="AJI59" s="5"/>
      <c r="AJJ59" s="5"/>
      <c r="AJK59" s="5"/>
      <c r="AJL59" s="5"/>
      <c r="AJM59" s="5"/>
      <c r="AJN59" s="5"/>
      <c r="AJO59" s="5"/>
      <c r="AJP59" s="5"/>
      <c r="AJQ59" s="5"/>
      <c r="AJR59" s="5"/>
      <c r="AJS59" s="5"/>
      <c r="AJT59" s="5"/>
      <c r="AJU59" s="5"/>
      <c r="AJV59" s="5"/>
      <c r="AJW59" s="5"/>
      <c r="AJX59" s="5"/>
      <c r="AJY59" s="5"/>
      <c r="AJZ59" s="5"/>
      <c r="AKA59" s="5"/>
      <c r="AKB59" s="5"/>
      <c r="AKC59" s="5"/>
      <c r="AKD59" s="5"/>
      <c r="AKE59" s="5"/>
      <c r="AKF59" s="5"/>
      <c r="AKG59" s="5"/>
      <c r="AKH59" s="5"/>
      <c r="AKI59" s="5"/>
      <c r="AKJ59" s="5"/>
      <c r="AKK59" s="5"/>
      <c r="AKL59" s="5"/>
      <c r="AKM59" s="5"/>
      <c r="AKN59" s="5"/>
      <c r="AKO59" s="5"/>
      <c r="AKP59" s="5"/>
      <c r="AKQ59" s="5"/>
      <c r="AKR59" s="5"/>
      <c r="AKS59" s="5"/>
      <c r="AKT59" s="5"/>
      <c r="AKU59" s="5"/>
      <c r="AKV59" s="5"/>
      <c r="AKW59" s="5"/>
      <c r="AKX59" s="5"/>
      <c r="AKY59" s="5"/>
      <c r="AKZ59" s="5"/>
      <c r="ALA59" s="5"/>
      <c r="ALB59" s="5"/>
      <c r="ALC59" s="5"/>
      <c r="ALD59" s="5"/>
      <c r="ALE59" s="5"/>
      <c r="ALF59" s="5"/>
      <c r="ALG59" s="5"/>
      <c r="ALH59" s="5"/>
      <c r="ALI59" s="5"/>
      <c r="ALJ59" s="5"/>
      <c r="ALK59" s="5"/>
      <c r="ALL59" s="5"/>
      <c r="ALM59" s="5"/>
      <c r="ALN59" s="5"/>
      <c r="ALO59" s="5"/>
      <c r="ALP59" s="5"/>
      <c r="ALQ59" s="5"/>
      <c r="ALR59" s="5"/>
      <c r="ALS59" s="5"/>
      <c r="ALT59" s="5"/>
      <c r="ALU59" s="5"/>
      <c r="ALV59" s="5"/>
      <c r="ALW59" s="5"/>
      <c r="ALX59" s="5"/>
      <c r="ALY59" s="5"/>
      <c r="ALZ59" s="5"/>
      <c r="AMA59" s="5"/>
      <c r="AMB59" s="5"/>
      <c r="AMC59" s="5"/>
      <c r="AMD59" s="5"/>
      <c r="AME59" s="5"/>
    </row>
    <row r="60" spans="1:1019" ht="15" customHeight="1" x14ac:dyDescent="0.35">
      <c r="A60" s="87" t="s">
        <v>7</v>
      </c>
      <c r="B60" s="79"/>
      <c r="C60" s="76"/>
      <c r="D60" s="86" t="s">
        <v>43</v>
      </c>
      <c r="E60" s="77">
        <f t="shared" ref="E60:E67" si="8">1/2000</f>
        <v>5.0000000000000001E-4</v>
      </c>
      <c r="F60" s="77">
        <v>500</v>
      </c>
      <c r="G60" s="72"/>
      <c r="H60" s="76" t="str">
        <f>IF('User Defined Factors'!A83="User Defined Vehicle #4",'User Defined Factors'!A83,CONCATENATE("User Defined"," ",'User Defined Factors'!A83))</f>
        <v>User Defined Vehicle #4</v>
      </c>
      <c r="I60" s="77" t="str">
        <f>IF(ISBLANK('User Defined Factors'!C83)=TRUE,"ENTER DATA",'User Defined Factors'!C83)</f>
        <v>ENTER DATA</v>
      </c>
      <c r="J60" s="77" t="str">
        <f>IF(ISBLANK('User Defined Factors'!D83)=TRUE,"ENTER DATA",'User Defined Factors'!D83)</f>
        <v>ENTER DATA</v>
      </c>
      <c r="K60" s="77" t="str">
        <f>IF(ISBLANK('User Defined Factors'!E83)=TRUE,"ENTER DATA",'User Defined Factors'!E83)</f>
        <v>ENTER DATA</v>
      </c>
      <c r="L60" s="88"/>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c r="IZ60" s="5"/>
      <c r="JA60" s="5"/>
      <c r="JB60" s="5"/>
      <c r="JC60" s="5"/>
      <c r="JD60" s="5"/>
      <c r="JE60" s="5"/>
      <c r="JF60" s="5"/>
      <c r="JG60" s="5"/>
      <c r="JH60" s="5"/>
      <c r="JI60" s="5"/>
      <c r="JJ60" s="5"/>
      <c r="JK60" s="5"/>
      <c r="JL60" s="5"/>
      <c r="JM60" s="5"/>
      <c r="JN60" s="5"/>
      <c r="JO60" s="5"/>
      <c r="JP60" s="5"/>
      <c r="JQ60" s="5"/>
      <c r="JR60" s="5"/>
      <c r="JS60" s="5"/>
      <c r="JT60" s="5"/>
      <c r="JU60" s="5"/>
      <c r="JV60" s="5"/>
      <c r="JW60" s="5"/>
      <c r="JX60" s="5"/>
      <c r="JY60" s="5"/>
      <c r="JZ60" s="5"/>
      <c r="KA60" s="5"/>
      <c r="KB60" s="5"/>
      <c r="KC60" s="5"/>
      <c r="KD60" s="5"/>
      <c r="KE60" s="5"/>
      <c r="KF60" s="5"/>
      <c r="KG60" s="5"/>
      <c r="KH60" s="5"/>
      <c r="KI60" s="5"/>
      <c r="KJ60" s="5"/>
      <c r="KK60" s="5"/>
      <c r="KL60" s="5"/>
      <c r="KM60" s="5"/>
      <c r="KN60" s="5"/>
      <c r="KO60" s="5"/>
      <c r="KP60" s="5"/>
      <c r="KQ60" s="5"/>
      <c r="KR60" s="5"/>
      <c r="KS60" s="5"/>
      <c r="KT60" s="5"/>
      <c r="KU60" s="5"/>
      <c r="KV60" s="5"/>
      <c r="KW60" s="5"/>
      <c r="KX60" s="5"/>
      <c r="KY60" s="5"/>
      <c r="KZ60" s="5"/>
      <c r="LA60" s="5"/>
      <c r="LB60" s="5"/>
      <c r="LC60" s="5"/>
      <c r="LD60" s="5"/>
      <c r="LE60" s="5"/>
      <c r="LF60" s="5"/>
      <c r="LG60" s="5"/>
      <c r="LH60" s="5"/>
      <c r="LI60" s="5"/>
      <c r="LJ60" s="5"/>
      <c r="LK60" s="5"/>
      <c r="LL60" s="5"/>
      <c r="LM60" s="5"/>
      <c r="LN60" s="5"/>
      <c r="LO60" s="5"/>
      <c r="LP60" s="5"/>
      <c r="LQ60" s="5"/>
      <c r="LR60" s="5"/>
      <c r="LS60" s="5"/>
      <c r="LT60" s="5"/>
      <c r="LU60" s="5"/>
      <c r="LV60" s="5"/>
      <c r="LW60" s="5"/>
      <c r="LX60" s="5"/>
      <c r="LY60" s="5"/>
      <c r="LZ60" s="5"/>
      <c r="MA60" s="5"/>
      <c r="MB60" s="5"/>
      <c r="MC60" s="5"/>
      <c r="MD60" s="5"/>
      <c r="ME60" s="5"/>
      <c r="MF60" s="5"/>
      <c r="MG60" s="5"/>
      <c r="MH60" s="5"/>
      <c r="MI60" s="5"/>
      <c r="MJ60" s="5"/>
      <c r="MK60" s="5"/>
      <c r="ML60" s="5"/>
      <c r="MM60" s="5"/>
      <c r="MN60" s="5"/>
      <c r="MO60" s="5"/>
      <c r="MP60" s="5"/>
      <c r="MQ60" s="5"/>
      <c r="MR60" s="5"/>
      <c r="MS60" s="5"/>
      <c r="MT60" s="5"/>
      <c r="MU60" s="5"/>
      <c r="MV60" s="5"/>
      <c r="MW60" s="5"/>
      <c r="MX60" s="5"/>
      <c r="MY60" s="5"/>
      <c r="MZ60" s="5"/>
      <c r="NA60" s="5"/>
      <c r="NB60" s="5"/>
      <c r="NC60" s="5"/>
      <c r="ND60" s="5"/>
      <c r="NE60" s="5"/>
      <c r="NF60" s="5"/>
      <c r="NG60" s="5"/>
      <c r="NH60" s="5"/>
      <c r="NI60" s="5"/>
      <c r="NJ60" s="5"/>
      <c r="NK60" s="5"/>
      <c r="NL60" s="5"/>
      <c r="NM60" s="5"/>
      <c r="NN60" s="5"/>
      <c r="NO60" s="5"/>
      <c r="NP60" s="5"/>
      <c r="NQ60" s="5"/>
      <c r="NR60" s="5"/>
      <c r="NS60" s="5"/>
      <c r="NT60" s="5"/>
      <c r="NU60" s="5"/>
      <c r="NV60" s="5"/>
      <c r="NW60" s="5"/>
      <c r="NX60" s="5"/>
      <c r="NY60" s="5"/>
      <c r="NZ60" s="5"/>
      <c r="OA60" s="5"/>
      <c r="OB60" s="5"/>
      <c r="OC60" s="5"/>
      <c r="OD60" s="5"/>
      <c r="OE60" s="5"/>
      <c r="OF60" s="5"/>
      <c r="OG60" s="5"/>
      <c r="OH60" s="5"/>
      <c r="OI60" s="5"/>
      <c r="OJ60" s="5"/>
      <c r="OK60" s="5"/>
      <c r="OL60" s="5"/>
      <c r="OM60" s="5"/>
      <c r="ON60" s="5"/>
      <c r="OO60" s="5"/>
      <c r="OP60" s="5"/>
      <c r="OQ60" s="5"/>
      <c r="OR60" s="5"/>
      <c r="OS60" s="5"/>
      <c r="OT60" s="5"/>
      <c r="OU60" s="5"/>
      <c r="OV60" s="5"/>
      <c r="OW60" s="5"/>
      <c r="OX60" s="5"/>
      <c r="OY60" s="5"/>
      <c r="OZ60" s="5"/>
      <c r="PA60" s="5"/>
      <c r="PB60" s="5"/>
      <c r="PC60" s="5"/>
      <c r="PD60" s="5"/>
      <c r="PE60" s="5"/>
      <c r="PF60" s="5"/>
      <c r="PG60" s="5"/>
      <c r="PH60" s="5"/>
      <c r="PI60" s="5"/>
      <c r="PJ60" s="5"/>
      <c r="PK60" s="5"/>
      <c r="PL60" s="5"/>
      <c r="PM60" s="5"/>
      <c r="PN60" s="5"/>
      <c r="PO60" s="5"/>
      <c r="PP60" s="5"/>
      <c r="PQ60" s="5"/>
      <c r="PR60" s="5"/>
      <c r="PS60" s="5"/>
      <c r="PT60" s="5"/>
      <c r="PU60" s="5"/>
      <c r="PV60" s="5"/>
      <c r="PW60" s="5"/>
      <c r="PX60" s="5"/>
      <c r="PY60" s="5"/>
      <c r="PZ60" s="5"/>
      <c r="QA60" s="5"/>
      <c r="QB60" s="5"/>
      <c r="QC60" s="5"/>
      <c r="QD60" s="5"/>
      <c r="QE60" s="5"/>
      <c r="QF60" s="5"/>
      <c r="QG60" s="5"/>
      <c r="QH60" s="5"/>
      <c r="QI60" s="5"/>
      <c r="QJ60" s="5"/>
      <c r="QK60" s="5"/>
      <c r="QL60" s="5"/>
      <c r="QM60" s="5"/>
      <c r="QN60" s="5"/>
      <c r="QO60" s="5"/>
      <c r="QP60" s="5"/>
      <c r="QQ60" s="5"/>
      <c r="QR60" s="5"/>
      <c r="QS60" s="5"/>
      <c r="QT60" s="5"/>
      <c r="QU60" s="5"/>
      <c r="QV60" s="5"/>
      <c r="QW60" s="5"/>
      <c r="QX60" s="5"/>
      <c r="QY60" s="5"/>
      <c r="QZ60" s="5"/>
      <c r="RA60" s="5"/>
      <c r="RB60" s="5"/>
      <c r="RC60" s="5"/>
      <c r="RD60" s="5"/>
      <c r="RE60" s="5"/>
      <c r="RF60" s="5"/>
      <c r="RG60" s="5"/>
      <c r="RH60" s="5"/>
      <c r="RI60" s="5"/>
      <c r="RJ60" s="5"/>
      <c r="RK60" s="5"/>
      <c r="RL60" s="5"/>
      <c r="RM60" s="5"/>
      <c r="RN60" s="5"/>
      <c r="RO60" s="5"/>
      <c r="RP60" s="5"/>
      <c r="RQ60" s="5"/>
      <c r="RR60" s="5"/>
      <c r="RS60" s="5"/>
      <c r="RT60" s="5"/>
      <c r="RU60" s="5"/>
      <c r="RV60" s="5"/>
      <c r="RW60" s="5"/>
      <c r="RX60" s="5"/>
      <c r="RY60" s="5"/>
      <c r="RZ60" s="5"/>
      <c r="SA60" s="5"/>
      <c r="SB60" s="5"/>
      <c r="SC60" s="5"/>
      <c r="SD60" s="5"/>
      <c r="SE60" s="5"/>
      <c r="SF60" s="5"/>
      <c r="SG60" s="5"/>
      <c r="SH60" s="5"/>
      <c r="SI60" s="5"/>
      <c r="SJ60" s="5"/>
      <c r="SK60" s="5"/>
      <c r="SL60" s="5"/>
      <c r="SM60" s="5"/>
      <c r="SN60" s="5"/>
      <c r="SO60" s="5"/>
      <c r="SP60" s="5"/>
      <c r="SQ60" s="5"/>
      <c r="SR60" s="5"/>
      <c r="SS60" s="5"/>
      <c r="ST60" s="5"/>
      <c r="SU60" s="5"/>
      <c r="SV60" s="5"/>
      <c r="SW60" s="5"/>
      <c r="SX60" s="5"/>
      <c r="SY60" s="5"/>
      <c r="SZ60" s="5"/>
      <c r="TA60" s="5"/>
      <c r="TB60" s="5"/>
      <c r="TC60" s="5"/>
      <c r="TD60" s="5"/>
      <c r="TE60" s="5"/>
      <c r="TF60" s="5"/>
      <c r="TG60" s="5"/>
      <c r="TH60" s="5"/>
      <c r="TI60" s="5"/>
      <c r="TJ60" s="5"/>
      <c r="TK60" s="5"/>
      <c r="TL60" s="5"/>
      <c r="TM60" s="5"/>
      <c r="TN60" s="5"/>
      <c r="TO60" s="5"/>
      <c r="TP60" s="5"/>
      <c r="TQ60" s="5"/>
      <c r="TR60" s="5"/>
      <c r="TS60" s="5"/>
      <c r="TT60" s="5"/>
      <c r="TU60" s="5"/>
      <c r="TV60" s="5"/>
      <c r="TW60" s="5"/>
      <c r="TX60" s="5"/>
      <c r="TY60" s="5"/>
      <c r="TZ60" s="5"/>
      <c r="UA60" s="5"/>
      <c r="UB60" s="5"/>
      <c r="UC60" s="5"/>
      <c r="UD60" s="5"/>
      <c r="UE60" s="5"/>
      <c r="UF60" s="5"/>
      <c r="UG60" s="5"/>
      <c r="UH60" s="5"/>
      <c r="UI60" s="5"/>
      <c r="UJ60" s="5"/>
      <c r="UK60" s="5"/>
      <c r="UL60" s="5"/>
      <c r="UM60" s="5"/>
      <c r="UN60" s="5"/>
      <c r="UO60" s="5"/>
      <c r="UP60" s="5"/>
      <c r="UQ60" s="5"/>
      <c r="UR60" s="5"/>
      <c r="US60" s="5"/>
      <c r="UT60" s="5"/>
      <c r="UU60" s="5"/>
      <c r="UV60" s="5"/>
      <c r="UW60" s="5"/>
      <c r="UX60" s="5"/>
      <c r="UY60" s="5"/>
      <c r="UZ60" s="5"/>
      <c r="VA60" s="5"/>
      <c r="VB60" s="5"/>
      <c r="VC60" s="5"/>
      <c r="VD60" s="5"/>
      <c r="VE60" s="5"/>
      <c r="VF60" s="5"/>
      <c r="VG60" s="5"/>
      <c r="VH60" s="5"/>
      <c r="VI60" s="5"/>
      <c r="VJ60" s="5"/>
      <c r="VK60" s="5"/>
      <c r="VL60" s="5"/>
      <c r="VM60" s="5"/>
      <c r="VN60" s="5"/>
      <c r="VO60" s="5"/>
      <c r="VP60" s="5"/>
      <c r="VQ60" s="5"/>
      <c r="VR60" s="5"/>
      <c r="VS60" s="5"/>
      <c r="VT60" s="5"/>
      <c r="VU60" s="5"/>
      <c r="VV60" s="5"/>
      <c r="VW60" s="5"/>
      <c r="VX60" s="5"/>
      <c r="VY60" s="5"/>
      <c r="VZ60" s="5"/>
      <c r="WA60" s="5"/>
      <c r="WB60" s="5"/>
      <c r="WC60" s="5"/>
      <c r="WD60" s="5"/>
      <c r="WE60" s="5"/>
      <c r="WF60" s="5"/>
      <c r="WG60" s="5"/>
      <c r="WH60" s="5"/>
      <c r="WI60" s="5"/>
      <c r="WJ60" s="5"/>
      <c r="WK60" s="5"/>
      <c r="WL60" s="5"/>
      <c r="WM60" s="5"/>
      <c r="WN60" s="5"/>
      <c r="WO60" s="5"/>
      <c r="WP60" s="5"/>
      <c r="WQ60" s="5"/>
      <c r="WR60" s="5"/>
      <c r="WS60" s="5"/>
      <c r="WT60" s="5"/>
      <c r="WU60" s="5"/>
      <c r="WV60" s="5"/>
      <c r="WW60" s="5"/>
      <c r="WX60" s="5"/>
      <c r="WY60" s="5"/>
      <c r="WZ60" s="5"/>
      <c r="XA60" s="5"/>
      <c r="XB60" s="5"/>
      <c r="XC60" s="5"/>
      <c r="XD60" s="5"/>
      <c r="XE60" s="5"/>
      <c r="XF60" s="5"/>
      <c r="XG60" s="5"/>
      <c r="XH60" s="5"/>
      <c r="XI60" s="5"/>
      <c r="XJ60" s="5"/>
      <c r="XK60" s="5"/>
      <c r="XL60" s="5"/>
      <c r="XM60" s="5"/>
      <c r="XN60" s="5"/>
      <c r="XO60" s="5"/>
      <c r="XP60" s="5"/>
      <c r="XQ60" s="5"/>
      <c r="XR60" s="5"/>
      <c r="XS60" s="5"/>
      <c r="XT60" s="5"/>
      <c r="XU60" s="5"/>
      <c r="XV60" s="5"/>
      <c r="XW60" s="5"/>
      <c r="XX60" s="5"/>
      <c r="XY60" s="5"/>
      <c r="XZ60" s="5"/>
      <c r="YA60" s="5"/>
      <c r="YB60" s="5"/>
      <c r="YC60" s="5"/>
      <c r="YD60" s="5"/>
      <c r="YE60" s="5"/>
      <c r="YF60" s="5"/>
      <c r="YG60" s="5"/>
      <c r="YH60" s="5"/>
      <c r="YI60" s="5"/>
      <c r="YJ60" s="5"/>
      <c r="YK60" s="5"/>
      <c r="YL60" s="5"/>
      <c r="YM60" s="5"/>
      <c r="YN60" s="5"/>
      <c r="YO60" s="5"/>
      <c r="YP60" s="5"/>
      <c r="YQ60" s="5"/>
      <c r="YR60" s="5"/>
      <c r="YS60" s="5"/>
      <c r="YT60" s="5"/>
      <c r="YU60" s="5"/>
      <c r="YV60" s="5"/>
      <c r="YW60" s="5"/>
      <c r="YX60" s="5"/>
      <c r="YY60" s="5"/>
      <c r="YZ60" s="5"/>
      <c r="ZA60" s="5"/>
      <c r="ZB60" s="5"/>
      <c r="ZC60" s="5"/>
      <c r="ZD60" s="5"/>
      <c r="ZE60" s="5"/>
      <c r="ZF60" s="5"/>
      <c r="ZG60" s="5"/>
      <c r="ZH60" s="5"/>
      <c r="ZI60" s="5"/>
      <c r="ZJ60" s="5"/>
      <c r="ZK60" s="5"/>
      <c r="ZL60" s="5"/>
      <c r="ZM60" s="5"/>
      <c r="ZN60" s="5"/>
      <c r="ZO60" s="5"/>
      <c r="ZP60" s="5"/>
      <c r="ZQ60" s="5"/>
      <c r="ZR60" s="5"/>
      <c r="ZS60" s="5"/>
      <c r="ZT60" s="5"/>
      <c r="ZU60" s="5"/>
      <c r="ZV60" s="5"/>
      <c r="ZW60" s="5"/>
      <c r="ZX60" s="5"/>
      <c r="ZY60" s="5"/>
      <c r="ZZ60" s="5"/>
      <c r="AAA60" s="5"/>
      <c r="AAB60" s="5"/>
      <c r="AAC60" s="5"/>
      <c r="AAD60" s="5"/>
      <c r="AAE60" s="5"/>
      <c r="AAF60" s="5"/>
      <c r="AAG60" s="5"/>
      <c r="AAH60" s="5"/>
      <c r="AAI60" s="5"/>
      <c r="AAJ60" s="5"/>
      <c r="AAK60" s="5"/>
      <c r="AAL60" s="5"/>
      <c r="AAM60" s="5"/>
      <c r="AAN60" s="5"/>
      <c r="AAO60" s="5"/>
      <c r="AAP60" s="5"/>
      <c r="AAQ60" s="5"/>
      <c r="AAR60" s="5"/>
      <c r="AAS60" s="5"/>
      <c r="AAT60" s="5"/>
      <c r="AAU60" s="5"/>
      <c r="AAV60" s="5"/>
      <c r="AAW60" s="5"/>
      <c r="AAX60" s="5"/>
      <c r="AAY60" s="5"/>
      <c r="AAZ60" s="5"/>
      <c r="ABA60" s="5"/>
      <c r="ABB60" s="5"/>
      <c r="ABC60" s="5"/>
      <c r="ABD60" s="5"/>
      <c r="ABE60" s="5"/>
      <c r="ABF60" s="5"/>
      <c r="ABG60" s="5"/>
      <c r="ABH60" s="5"/>
      <c r="ABI60" s="5"/>
      <c r="ABJ60" s="5"/>
      <c r="ABK60" s="5"/>
      <c r="ABL60" s="5"/>
      <c r="ABM60" s="5"/>
      <c r="ABN60" s="5"/>
      <c r="ABO60" s="5"/>
      <c r="ABP60" s="5"/>
      <c r="ABQ60" s="5"/>
      <c r="ABR60" s="5"/>
      <c r="ABS60" s="5"/>
      <c r="ABT60" s="5"/>
      <c r="ABU60" s="5"/>
      <c r="ABV60" s="5"/>
      <c r="ABW60" s="5"/>
      <c r="ABX60" s="5"/>
      <c r="ABY60" s="5"/>
      <c r="ABZ60" s="5"/>
      <c r="ACA60" s="5"/>
      <c r="ACB60" s="5"/>
      <c r="ACC60" s="5"/>
      <c r="ACD60" s="5"/>
      <c r="ACE60" s="5"/>
      <c r="ACF60" s="5"/>
      <c r="ACG60" s="5"/>
      <c r="ACH60" s="5"/>
      <c r="ACI60" s="5"/>
      <c r="ACJ60" s="5"/>
      <c r="ACK60" s="5"/>
      <c r="ACL60" s="5"/>
      <c r="ACM60" s="5"/>
      <c r="ACN60" s="5"/>
      <c r="ACO60" s="5"/>
      <c r="ACP60" s="5"/>
      <c r="ACQ60" s="5"/>
      <c r="ACR60" s="5"/>
      <c r="ACS60" s="5"/>
      <c r="ACT60" s="5"/>
      <c r="ACU60" s="5"/>
      <c r="ACV60" s="5"/>
      <c r="ACW60" s="5"/>
      <c r="ACX60" s="5"/>
      <c r="ACY60" s="5"/>
      <c r="ACZ60" s="5"/>
      <c r="ADA60" s="5"/>
      <c r="ADB60" s="5"/>
      <c r="ADC60" s="5"/>
      <c r="ADD60" s="5"/>
      <c r="ADE60" s="5"/>
      <c r="ADF60" s="5"/>
      <c r="ADG60" s="5"/>
      <c r="ADH60" s="5"/>
      <c r="ADI60" s="5"/>
      <c r="ADJ60" s="5"/>
      <c r="ADK60" s="5"/>
      <c r="ADL60" s="5"/>
      <c r="ADM60" s="5"/>
      <c r="ADN60" s="5"/>
      <c r="ADO60" s="5"/>
      <c r="ADP60" s="5"/>
      <c r="ADQ60" s="5"/>
      <c r="ADR60" s="5"/>
      <c r="ADS60" s="5"/>
      <c r="ADT60" s="5"/>
      <c r="ADU60" s="5"/>
      <c r="ADV60" s="5"/>
      <c r="ADW60" s="5"/>
      <c r="ADX60" s="5"/>
      <c r="ADY60" s="5"/>
      <c r="ADZ60" s="5"/>
      <c r="AEA60" s="5"/>
      <c r="AEB60" s="5"/>
      <c r="AEC60" s="5"/>
      <c r="AED60" s="5"/>
      <c r="AEE60" s="5"/>
      <c r="AEF60" s="5"/>
      <c r="AEG60" s="5"/>
      <c r="AEH60" s="5"/>
      <c r="AEI60" s="5"/>
      <c r="AEJ60" s="5"/>
      <c r="AEK60" s="5"/>
      <c r="AEL60" s="5"/>
      <c r="AEM60" s="5"/>
      <c r="AEN60" s="5"/>
      <c r="AEO60" s="5"/>
      <c r="AEP60" s="5"/>
      <c r="AEQ60" s="5"/>
      <c r="AER60" s="5"/>
      <c r="AES60" s="5"/>
      <c r="AET60" s="5"/>
      <c r="AEU60" s="5"/>
      <c r="AEV60" s="5"/>
      <c r="AEW60" s="5"/>
      <c r="AEX60" s="5"/>
      <c r="AEY60" s="5"/>
      <c r="AEZ60" s="5"/>
      <c r="AFA60" s="5"/>
      <c r="AFB60" s="5"/>
      <c r="AFC60" s="5"/>
      <c r="AFD60" s="5"/>
      <c r="AFE60" s="5"/>
      <c r="AFF60" s="5"/>
      <c r="AFG60" s="5"/>
      <c r="AFH60" s="5"/>
      <c r="AFI60" s="5"/>
      <c r="AFJ60" s="5"/>
      <c r="AFK60" s="5"/>
      <c r="AFL60" s="5"/>
      <c r="AFM60" s="5"/>
      <c r="AFN60" s="5"/>
      <c r="AFO60" s="5"/>
      <c r="AFP60" s="5"/>
      <c r="AFQ60" s="5"/>
      <c r="AFR60" s="5"/>
      <c r="AFS60" s="5"/>
      <c r="AFT60" s="5"/>
      <c r="AFU60" s="5"/>
      <c r="AFV60" s="5"/>
      <c r="AFW60" s="5"/>
      <c r="AFX60" s="5"/>
      <c r="AFY60" s="5"/>
      <c r="AFZ60" s="5"/>
      <c r="AGA60" s="5"/>
      <c r="AGB60" s="5"/>
      <c r="AGC60" s="5"/>
      <c r="AGD60" s="5"/>
      <c r="AGE60" s="5"/>
      <c r="AGF60" s="5"/>
      <c r="AGG60" s="5"/>
      <c r="AGH60" s="5"/>
      <c r="AGI60" s="5"/>
      <c r="AGJ60" s="5"/>
      <c r="AGK60" s="5"/>
      <c r="AGL60" s="5"/>
      <c r="AGM60" s="5"/>
      <c r="AGN60" s="5"/>
      <c r="AGO60" s="5"/>
      <c r="AGP60" s="5"/>
      <c r="AGQ60" s="5"/>
      <c r="AGR60" s="5"/>
      <c r="AGS60" s="5"/>
      <c r="AGT60" s="5"/>
      <c r="AGU60" s="5"/>
      <c r="AGV60" s="5"/>
      <c r="AGW60" s="5"/>
      <c r="AGX60" s="5"/>
      <c r="AGY60" s="5"/>
      <c r="AGZ60" s="5"/>
      <c r="AHA60" s="5"/>
      <c r="AHB60" s="5"/>
      <c r="AHC60" s="5"/>
      <c r="AHD60" s="5"/>
      <c r="AHE60" s="5"/>
      <c r="AHF60" s="5"/>
      <c r="AHG60" s="5"/>
      <c r="AHH60" s="5"/>
      <c r="AHI60" s="5"/>
      <c r="AHJ60" s="5"/>
      <c r="AHK60" s="5"/>
      <c r="AHL60" s="5"/>
      <c r="AHM60" s="5"/>
      <c r="AHN60" s="5"/>
      <c r="AHO60" s="5"/>
      <c r="AHP60" s="5"/>
      <c r="AHQ60" s="5"/>
      <c r="AHR60" s="5"/>
      <c r="AHS60" s="5"/>
      <c r="AHT60" s="5"/>
      <c r="AHU60" s="5"/>
      <c r="AHV60" s="5"/>
      <c r="AHW60" s="5"/>
      <c r="AHX60" s="5"/>
      <c r="AHY60" s="5"/>
      <c r="AHZ60" s="5"/>
      <c r="AIA60" s="5"/>
      <c r="AIB60" s="5"/>
      <c r="AIC60" s="5"/>
      <c r="AID60" s="5"/>
      <c r="AIE60" s="5"/>
      <c r="AIF60" s="5"/>
      <c r="AIG60" s="5"/>
      <c r="AIH60" s="5"/>
      <c r="AII60" s="5"/>
      <c r="AIJ60" s="5"/>
      <c r="AIK60" s="5"/>
      <c r="AIL60" s="5"/>
      <c r="AIM60" s="5"/>
      <c r="AIN60" s="5"/>
      <c r="AIO60" s="5"/>
      <c r="AIP60" s="5"/>
      <c r="AIQ60" s="5"/>
      <c r="AIR60" s="5"/>
      <c r="AIS60" s="5"/>
      <c r="AIT60" s="5"/>
      <c r="AIU60" s="5"/>
      <c r="AIV60" s="5"/>
      <c r="AIW60" s="5"/>
      <c r="AIX60" s="5"/>
      <c r="AIY60" s="5"/>
      <c r="AIZ60" s="5"/>
      <c r="AJA60" s="5"/>
      <c r="AJB60" s="5"/>
      <c r="AJC60" s="5"/>
      <c r="AJD60" s="5"/>
      <c r="AJE60" s="5"/>
      <c r="AJF60" s="5"/>
      <c r="AJG60" s="5"/>
      <c r="AJH60" s="5"/>
      <c r="AJI60" s="5"/>
      <c r="AJJ60" s="5"/>
      <c r="AJK60" s="5"/>
      <c r="AJL60" s="5"/>
      <c r="AJM60" s="5"/>
      <c r="AJN60" s="5"/>
      <c r="AJO60" s="5"/>
      <c r="AJP60" s="5"/>
      <c r="AJQ60" s="5"/>
      <c r="AJR60" s="5"/>
      <c r="AJS60" s="5"/>
      <c r="AJT60" s="5"/>
      <c r="AJU60" s="5"/>
      <c r="AJV60" s="5"/>
      <c r="AJW60" s="5"/>
      <c r="AJX60" s="5"/>
      <c r="AJY60" s="5"/>
      <c r="AJZ60" s="5"/>
      <c r="AKA60" s="5"/>
      <c r="AKB60" s="5"/>
      <c r="AKC60" s="5"/>
      <c r="AKD60" s="5"/>
      <c r="AKE60" s="5"/>
      <c r="AKF60" s="5"/>
      <c r="AKG60" s="5"/>
      <c r="AKH60" s="5"/>
      <c r="AKI60" s="5"/>
      <c r="AKJ60" s="5"/>
      <c r="AKK60" s="5"/>
      <c r="AKL60" s="5"/>
      <c r="AKM60" s="5"/>
      <c r="AKN60" s="5"/>
      <c r="AKO60" s="5"/>
      <c r="AKP60" s="5"/>
      <c r="AKQ60" s="5"/>
      <c r="AKR60" s="5"/>
      <c r="AKS60" s="5"/>
      <c r="AKT60" s="5"/>
      <c r="AKU60" s="5"/>
      <c r="AKV60" s="5"/>
      <c r="AKW60" s="5"/>
      <c r="AKX60" s="5"/>
      <c r="AKY60" s="5"/>
      <c r="AKZ60" s="5"/>
      <c r="ALA60" s="5"/>
      <c r="ALB60" s="5"/>
      <c r="ALC60" s="5"/>
      <c r="ALD60" s="5"/>
      <c r="ALE60" s="5"/>
      <c r="ALF60" s="5"/>
      <c r="ALG60" s="5"/>
      <c r="ALH60" s="5"/>
      <c r="ALI60" s="5"/>
      <c r="ALJ60" s="5"/>
      <c r="ALK60" s="5"/>
      <c r="ALL60" s="5"/>
      <c r="ALM60" s="5"/>
      <c r="ALN60" s="5"/>
      <c r="ALO60" s="5"/>
      <c r="ALP60" s="5"/>
      <c r="ALQ60" s="5"/>
      <c r="ALR60" s="5"/>
      <c r="ALS60" s="5"/>
      <c r="ALT60" s="5"/>
      <c r="ALU60" s="5"/>
      <c r="ALV60" s="5"/>
      <c r="ALW60" s="5"/>
      <c r="ALX60" s="5"/>
      <c r="ALY60" s="5"/>
      <c r="ALZ60" s="5"/>
      <c r="AMA60" s="5"/>
      <c r="AMB60" s="5"/>
      <c r="AMC60" s="5"/>
      <c r="AMD60" s="5"/>
      <c r="AME60" s="5"/>
    </row>
    <row r="61" spans="1:1019" ht="15" customHeight="1" x14ac:dyDescent="0.35">
      <c r="A61" s="87" t="s">
        <v>757</v>
      </c>
      <c r="B61" s="79"/>
      <c r="C61" s="76"/>
      <c r="D61" s="86" t="s">
        <v>43</v>
      </c>
      <c r="E61" s="77">
        <f t="shared" si="8"/>
        <v>5.0000000000000001E-4</v>
      </c>
      <c r="F61" s="77">
        <v>25</v>
      </c>
      <c r="G61" s="72"/>
      <c r="H61" s="76" t="str">
        <f>IF('User Defined Factors'!A84="User Defined Vehicle #5",'User Defined Factors'!A84,CONCATENATE("User Defined"," ",'User Defined Factors'!A84))</f>
        <v>User Defined Vehicle #5</v>
      </c>
      <c r="I61" s="77" t="str">
        <f>IF(ISBLANK('User Defined Factors'!C84)=TRUE,"ENTER DATA",'User Defined Factors'!C84)</f>
        <v>ENTER DATA</v>
      </c>
      <c r="J61" s="77" t="str">
        <f>IF(ISBLANK('User Defined Factors'!D84)=TRUE,"ENTER DATA",'User Defined Factors'!D84)</f>
        <v>ENTER DATA</v>
      </c>
      <c r="K61" s="77" t="str">
        <f>IF(ISBLANK('User Defined Factors'!E84)=TRUE,"ENTER DATA",'User Defined Factors'!E84)</f>
        <v>ENTER DATA</v>
      </c>
      <c r="L61" s="88"/>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c r="SK61" s="5"/>
      <c r="SL61" s="5"/>
      <c r="SM61" s="5"/>
      <c r="SN61" s="5"/>
      <c r="SO61" s="5"/>
      <c r="SP61" s="5"/>
      <c r="SQ61" s="5"/>
      <c r="SR61" s="5"/>
      <c r="SS61" s="5"/>
      <c r="ST61" s="5"/>
      <c r="SU61" s="5"/>
      <c r="SV61" s="5"/>
      <c r="SW61" s="5"/>
      <c r="SX61" s="5"/>
      <c r="SY61" s="5"/>
      <c r="SZ61" s="5"/>
      <c r="TA61" s="5"/>
      <c r="TB61" s="5"/>
      <c r="TC61" s="5"/>
      <c r="TD61" s="5"/>
      <c r="TE61" s="5"/>
      <c r="TF61" s="5"/>
      <c r="TG61" s="5"/>
      <c r="TH61" s="5"/>
      <c r="TI61" s="5"/>
      <c r="TJ61" s="5"/>
      <c r="TK61" s="5"/>
      <c r="TL61" s="5"/>
      <c r="TM61" s="5"/>
      <c r="TN61" s="5"/>
      <c r="TO61" s="5"/>
      <c r="TP61" s="5"/>
      <c r="TQ61" s="5"/>
      <c r="TR61" s="5"/>
      <c r="TS61" s="5"/>
      <c r="TT61" s="5"/>
      <c r="TU61" s="5"/>
      <c r="TV61" s="5"/>
      <c r="TW61" s="5"/>
      <c r="TX61" s="5"/>
      <c r="TY61" s="5"/>
      <c r="TZ61" s="5"/>
      <c r="UA61" s="5"/>
      <c r="UB61" s="5"/>
      <c r="UC61" s="5"/>
      <c r="UD61" s="5"/>
      <c r="UE61" s="5"/>
      <c r="UF61" s="5"/>
      <c r="UG61" s="5"/>
      <c r="UH61" s="5"/>
      <c r="UI61" s="5"/>
      <c r="UJ61" s="5"/>
      <c r="UK61" s="5"/>
      <c r="UL61" s="5"/>
      <c r="UM61" s="5"/>
      <c r="UN61" s="5"/>
      <c r="UO61" s="5"/>
      <c r="UP61" s="5"/>
      <c r="UQ61" s="5"/>
      <c r="UR61" s="5"/>
      <c r="US61" s="5"/>
      <c r="UT61" s="5"/>
      <c r="UU61" s="5"/>
      <c r="UV61" s="5"/>
      <c r="UW61" s="5"/>
      <c r="UX61" s="5"/>
      <c r="UY61" s="5"/>
      <c r="UZ61" s="5"/>
      <c r="VA61" s="5"/>
      <c r="VB61" s="5"/>
      <c r="VC61" s="5"/>
      <c r="VD61" s="5"/>
      <c r="VE61" s="5"/>
      <c r="VF61" s="5"/>
      <c r="VG61" s="5"/>
      <c r="VH61" s="5"/>
      <c r="VI61" s="5"/>
      <c r="VJ61" s="5"/>
      <c r="VK61" s="5"/>
      <c r="VL61" s="5"/>
      <c r="VM61" s="5"/>
      <c r="VN61" s="5"/>
      <c r="VO61" s="5"/>
      <c r="VP61" s="5"/>
      <c r="VQ61" s="5"/>
      <c r="VR61" s="5"/>
      <c r="VS61" s="5"/>
      <c r="VT61" s="5"/>
      <c r="VU61" s="5"/>
      <c r="VV61" s="5"/>
      <c r="VW61" s="5"/>
      <c r="VX61" s="5"/>
      <c r="VY61" s="5"/>
      <c r="VZ61" s="5"/>
      <c r="WA61" s="5"/>
      <c r="WB61" s="5"/>
      <c r="WC61" s="5"/>
      <c r="WD61" s="5"/>
      <c r="WE61" s="5"/>
      <c r="WF61" s="5"/>
      <c r="WG61" s="5"/>
      <c r="WH61" s="5"/>
      <c r="WI61" s="5"/>
      <c r="WJ61" s="5"/>
      <c r="WK61" s="5"/>
      <c r="WL61" s="5"/>
      <c r="WM61" s="5"/>
      <c r="WN61" s="5"/>
      <c r="WO61" s="5"/>
      <c r="WP61" s="5"/>
      <c r="WQ61" s="5"/>
      <c r="WR61" s="5"/>
      <c r="WS61" s="5"/>
      <c r="WT61" s="5"/>
      <c r="WU61" s="5"/>
      <c r="WV61" s="5"/>
      <c r="WW61" s="5"/>
      <c r="WX61" s="5"/>
      <c r="WY61" s="5"/>
      <c r="WZ61" s="5"/>
      <c r="XA61" s="5"/>
      <c r="XB61" s="5"/>
      <c r="XC61" s="5"/>
      <c r="XD61" s="5"/>
      <c r="XE61" s="5"/>
      <c r="XF61" s="5"/>
      <c r="XG61" s="5"/>
      <c r="XH61" s="5"/>
      <c r="XI61" s="5"/>
      <c r="XJ61" s="5"/>
      <c r="XK61" s="5"/>
      <c r="XL61" s="5"/>
      <c r="XM61" s="5"/>
      <c r="XN61" s="5"/>
      <c r="XO61" s="5"/>
      <c r="XP61" s="5"/>
      <c r="XQ61" s="5"/>
      <c r="XR61" s="5"/>
      <c r="XS61" s="5"/>
      <c r="XT61" s="5"/>
      <c r="XU61" s="5"/>
      <c r="XV61" s="5"/>
      <c r="XW61" s="5"/>
      <c r="XX61" s="5"/>
      <c r="XY61" s="5"/>
      <c r="XZ61" s="5"/>
      <c r="YA61" s="5"/>
      <c r="YB61" s="5"/>
      <c r="YC61" s="5"/>
      <c r="YD61" s="5"/>
      <c r="YE61" s="5"/>
      <c r="YF61" s="5"/>
      <c r="YG61" s="5"/>
      <c r="YH61" s="5"/>
      <c r="YI61" s="5"/>
      <c r="YJ61" s="5"/>
      <c r="YK61" s="5"/>
      <c r="YL61" s="5"/>
      <c r="YM61" s="5"/>
      <c r="YN61" s="5"/>
      <c r="YO61" s="5"/>
      <c r="YP61" s="5"/>
      <c r="YQ61" s="5"/>
      <c r="YR61" s="5"/>
      <c r="YS61" s="5"/>
      <c r="YT61" s="5"/>
      <c r="YU61" s="5"/>
      <c r="YV61" s="5"/>
      <c r="YW61" s="5"/>
      <c r="YX61" s="5"/>
      <c r="YY61" s="5"/>
      <c r="YZ61" s="5"/>
      <c r="ZA61" s="5"/>
      <c r="ZB61" s="5"/>
      <c r="ZC61" s="5"/>
      <c r="ZD61" s="5"/>
      <c r="ZE61" s="5"/>
      <c r="ZF61" s="5"/>
      <c r="ZG61" s="5"/>
      <c r="ZH61" s="5"/>
      <c r="ZI61" s="5"/>
      <c r="ZJ61" s="5"/>
      <c r="ZK61" s="5"/>
      <c r="ZL61" s="5"/>
      <c r="ZM61" s="5"/>
      <c r="ZN61" s="5"/>
      <c r="ZO61" s="5"/>
      <c r="ZP61" s="5"/>
      <c r="ZQ61" s="5"/>
      <c r="ZR61" s="5"/>
      <c r="ZS61" s="5"/>
      <c r="ZT61" s="5"/>
      <c r="ZU61" s="5"/>
      <c r="ZV61" s="5"/>
      <c r="ZW61" s="5"/>
      <c r="ZX61" s="5"/>
      <c r="ZY61" s="5"/>
      <c r="ZZ61" s="5"/>
      <c r="AAA61" s="5"/>
      <c r="AAB61" s="5"/>
      <c r="AAC61" s="5"/>
      <c r="AAD61" s="5"/>
      <c r="AAE61" s="5"/>
      <c r="AAF61" s="5"/>
      <c r="AAG61" s="5"/>
      <c r="AAH61" s="5"/>
      <c r="AAI61" s="5"/>
      <c r="AAJ61" s="5"/>
      <c r="AAK61" s="5"/>
      <c r="AAL61" s="5"/>
      <c r="AAM61" s="5"/>
      <c r="AAN61" s="5"/>
      <c r="AAO61" s="5"/>
      <c r="AAP61" s="5"/>
      <c r="AAQ61" s="5"/>
      <c r="AAR61" s="5"/>
      <c r="AAS61" s="5"/>
      <c r="AAT61" s="5"/>
      <c r="AAU61" s="5"/>
      <c r="AAV61" s="5"/>
      <c r="AAW61" s="5"/>
      <c r="AAX61" s="5"/>
      <c r="AAY61" s="5"/>
      <c r="AAZ61" s="5"/>
      <c r="ABA61" s="5"/>
      <c r="ABB61" s="5"/>
      <c r="ABC61" s="5"/>
      <c r="ABD61" s="5"/>
      <c r="ABE61" s="5"/>
      <c r="ABF61" s="5"/>
      <c r="ABG61" s="5"/>
      <c r="ABH61" s="5"/>
      <c r="ABI61" s="5"/>
      <c r="ABJ61" s="5"/>
      <c r="ABK61" s="5"/>
      <c r="ABL61" s="5"/>
      <c r="ABM61" s="5"/>
      <c r="ABN61" s="5"/>
      <c r="ABO61" s="5"/>
      <c r="ABP61" s="5"/>
      <c r="ABQ61" s="5"/>
      <c r="ABR61" s="5"/>
      <c r="ABS61" s="5"/>
      <c r="ABT61" s="5"/>
      <c r="ABU61" s="5"/>
      <c r="ABV61" s="5"/>
      <c r="ABW61" s="5"/>
      <c r="ABX61" s="5"/>
      <c r="ABY61" s="5"/>
      <c r="ABZ61" s="5"/>
      <c r="ACA61" s="5"/>
      <c r="ACB61" s="5"/>
      <c r="ACC61" s="5"/>
      <c r="ACD61" s="5"/>
      <c r="ACE61" s="5"/>
      <c r="ACF61" s="5"/>
      <c r="ACG61" s="5"/>
      <c r="ACH61" s="5"/>
      <c r="ACI61" s="5"/>
      <c r="ACJ61" s="5"/>
      <c r="ACK61" s="5"/>
      <c r="ACL61" s="5"/>
      <c r="ACM61" s="5"/>
      <c r="ACN61" s="5"/>
      <c r="ACO61" s="5"/>
      <c r="ACP61" s="5"/>
      <c r="ACQ61" s="5"/>
      <c r="ACR61" s="5"/>
      <c r="ACS61" s="5"/>
      <c r="ACT61" s="5"/>
      <c r="ACU61" s="5"/>
      <c r="ACV61" s="5"/>
      <c r="ACW61" s="5"/>
      <c r="ACX61" s="5"/>
      <c r="ACY61" s="5"/>
      <c r="ACZ61" s="5"/>
      <c r="ADA61" s="5"/>
      <c r="ADB61" s="5"/>
      <c r="ADC61" s="5"/>
      <c r="ADD61" s="5"/>
      <c r="ADE61" s="5"/>
      <c r="ADF61" s="5"/>
      <c r="ADG61" s="5"/>
      <c r="ADH61" s="5"/>
      <c r="ADI61" s="5"/>
      <c r="ADJ61" s="5"/>
      <c r="ADK61" s="5"/>
      <c r="ADL61" s="5"/>
      <c r="ADM61" s="5"/>
      <c r="ADN61" s="5"/>
      <c r="ADO61" s="5"/>
      <c r="ADP61" s="5"/>
      <c r="ADQ61" s="5"/>
      <c r="ADR61" s="5"/>
      <c r="ADS61" s="5"/>
      <c r="ADT61" s="5"/>
      <c r="ADU61" s="5"/>
      <c r="ADV61" s="5"/>
      <c r="ADW61" s="5"/>
      <c r="ADX61" s="5"/>
      <c r="ADY61" s="5"/>
      <c r="ADZ61" s="5"/>
      <c r="AEA61" s="5"/>
      <c r="AEB61" s="5"/>
      <c r="AEC61" s="5"/>
      <c r="AED61" s="5"/>
      <c r="AEE61" s="5"/>
      <c r="AEF61" s="5"/>
      <c r="AEG61" s="5"/>
      <c r="AEH61" s="5"/>
      <c r="AEI61" s="5"/>
      <c r="AEJ61" s="5"/>
      <c r="AEK61" s="5"/>
      <c r="AEL61" s="5"/>
      <c r="AEM61" s="5"/>
      <c r="AEN61" s="5"/>
      <c r="AEO61" s="5"/>
      <c r="AEP61" s="5"/>
      <c r="AEQ61" s="5"/>
      <c r="AER61" s="5"/>
      <c r="AES61" s="5"/>
      <c r="AET61" s="5"/>
      <c r="AEU61" s="5"/>
      <c r="AEV61" s="5"/>
      <c r="AEW61" s="5"/>
      <c r="AEX61" s="5"/>
      <c r="AEY61" s="5"/>
      <c r="AEZ61" s="5"/>
      <c r="AFA61" s="5"/>
      <c r="AFB61" s="5"/>
      <c r="AFC61" s="5"/>
      <c r="AFD61" s="5"/>
      <c r="AFE61" s="5"/>
      <c r="AFF61" s="5"/>
      <c r="AFG61" s="5"/>
      <c r="AFH61" s="5"/>
      <c r="AFI61" s="5"/>
      <c r="AFJ61" s="5"/>
      <c r="AFK61" s="5"/>
      <c r="AFL61" s="5"/>
      <c r="AFM61" s="5"/>
      <c r="AFN61" s="5"/>
      <c r="AFO61" s="5"/>
      <c r="AFP61" s="5"/>
      <c r="AFQ61" s="5"/>
      <c r="AFR61" s="5"/>
      <c r="AFS61" s="5"/>
      <c r="AFT61" s="5"/>
      <c r="AFU61" s="5"/>
      <c r="AFV61" s="5"/>
      <c r="AFW61" s="5"/>
      <c r="AFX61" s="5"/>
      <c r="AFY61" s="5"/>
      <c r="AFZ61" s="5"/>
      <c r="AGA61" s="5"/>
      <c r="AGB61" s="5"/>
      <c r="AGC61" s="5"/>
      <c r="AGD61" s="5"/>
      <c r="AGE61" s="5"/>
      <c r="AGF61" s="5"/>
      <c r="AGG61" s="5"/>
      <c r="AGH61" s="5"/>
      <c r="AGI61" s="5"/>
      <c r="AGJ61" s="5"/>
      <c r="AGK61" s="5"/>
      <c r="AGL61" s="5"/>
      <c r="AGM61" s="5"/>
      <c r="AGN61" s="5"/>
      <c r="AGO61" s="5"/>
      <c r="AGP61" s="5"/>
      <c r="AGQ61" s="5"/>
      <c r="AGR61" s="5"/>
      <c r="AGS61" s="5"/>
      <c r="AGT61" s="5"/>
      <c r="AGU61" s="5"/>
      <c r="AGV61" s="5"/>
      <c r="AGW61" s="5"/>
      <c r="AGX61" s="5"/>
      <c r="AGY61" s="5"/>
      <c r="AGZ61" s="5"/>
      <c r="AHA61" s="5"/>
      <c r="AHB61" s="5"/>
      <c r="AHC61" s="5"/>
      <c r="AHD61" s="5"/>
      <c r="AHE61" s="5"/>
      <c r="AHF61" s="5"/>
      <c r="AHG61" s="5"/>
      <c r="AHH61" s="5"/>
      <c r="AHI61" s="5"/>
      <c r="AHJ61" s="5"/>
      <c r="AHK61" s="5"/>
      <c r="AHL61" s="5"/>
      <c r="AHM61" s="5"/>
      <c r="AHN61" s="5"/>
      <c r="AHO61" s="5"/>
      <c r="AHP61" s="5"/>
      <c r="AHQ61" s="5"/>
      <c r="AHR61" s="5"/>
      <c r="AHS61" s="5"/>
      <c r="AHT61" s="5"/>
      <c r="AHU61" s="5"/>
      <c r="AHV61" s="5"/>
      <c r="AHW61" s="5"/>
      <c r="AHX61" s="5"/>
      <c r="AHY61" s="5"/>
      <c r="AHZ61" s="5"/>
      <c r="AIA61" s="5"/>
      <c r="AIB61" s="5"/>
      <c r="AIC61" s="5"/>
      <c r="AID61" s="5"/>
      <c r="AIE61" s="5"/>
      <c r="AIF61" s="5"/>
      <c r="AIG61" s="5"/>
      <c r="AIH61" s="5"/>
      <c r="AII61" s="5"/>
      <c r="AIJ61" s="5"/>
      <c r="AIK61" s="5"/>
      <c r="AIL61" s="5"/>
      <c r="AIM61" s="5"/>
      <c r="AIN61" s="5"/>
      <c r="AIO61" s="5"/>
      <c r="AIP61" s="5"/>
      <c r="AIQ61" s="5"/>
      <c r="AIR61" s="5"/>
      <c r="AIS61" s="5"/>
      <c r="AIT61" s="5"/>
      <c r="AIU61" s="5"/>
      <c r="AIV61" s="5"/>
      <c r="AIW61" s="5"/>
      <c r="AIX61" s="5"/>
      <c r="AIY61" s="5"/>
      <c r="AIZ61" s="5"/>
      <c r="AJA61" s="5"/>
      <c r="AJB61" s="5"/>
      <c r="AJC61" s="5"/>
      <c r="AJD61" s="5"/>
      <c r="AJE61" s="5"/>
      <c r="AJF61" s="5"/>
      <c r="AJG61" s="5"/>
      <c r="AJH61" s="5"/>
      <c r="AJI61" s="5"/>
      <c r="AJJ61" s="5"/>
      <c r="AJK61" s="5"/>
      <c r="AJL61" s="5"/>
      <c r="AJM61" s="5"/>
      <c r="AJN61" s="5"/>
      <c r="AJO61" s="5"/>
      <c r="AJP61" s="5"/>
      <c r="AJQ61" s="5"/>
      <c r="AJR61" s="5"/>
      <c r="AJS61" s="5"/>
      <c r="AJT61" s="5"/>
      <c r="AJU61" s="5"/>
      <c r="AJV61" s="5"/>
      <c r="AJW61" s="5"/>
      <c r="AJX61" s="5"/>
      <c r="AJY61" s="5"/>
      <c r="AJZ61" s="5"/>
      <c r="AKA61" s="5"/>
      <c r="AKB61" s="5"/>
      <c r="AKC61" s="5"/>
      <c r="AKD61" s="5"/>
      <c r="AKE61" s="5"/>
      <c r="AKF61" s="5"/>
      <c r="AKG61" s="5"/>
      <c r="AKH61" s="5"/>
      <c r="AKI61" s="5"/>
      <c r="AKJ61" s="5"/>
      <c r="AKK61" s="5"/>
      <c r="AKL61" s="5"/>
      <c r="AKM61" s="5"/>
      <c r="AKN61" s="5"/>
      <c r="AKO61" s="5"/>
      <c r="AKP61" s="5"/>
      <c r="AKQ61" s="5"/>
      <c r="AKR61" s="5"/>
      <c r="AKS61" s="5"/>
      <c r="AKT61" s="5"/>
      <c r="AKU61" s="5"/>
      <c r="AKV61" s="5"/>
      <c r="AKW61" s="5"/>
      <c r="AKX61" s="5"/>
      <c r="AKY61" s="5"/>
      <c r="AKZ61" s="5"/>
      <c r="ALA61" s="5"/>
      <c r="ALB61" s="5"/>
      <c r="ALC61" s="5"/>
      <c r="ALD61" s="5"/>
      <c r="ALE61" s="5"/>
      <c r="ALF61" s="5"/>
      <c r="ALG61" s="5"/>
      <c r="ALH61" s="5"/>
      <c r="ALI61" s="5"/>
      <c r="ALJ61" s="5"/>
      <c r="ALK61" s="5"/>
      <c r="ALL61" s="5"/>
      <c r="ALM61" s="5"/>
      <c r="ALN61" s="5"/>
      <c r="ALO61" s="5"/>
      <c r="ALP61" s="5"/>
      <c r="ALQ61" s="5"/>
      <c r="ALR61" s="5"/>
      <c r="ALS61" s="5"/>
      <c r="ALT61" s="5"/>
      <c r="ALU61" s="5"/>
      <c r="ALV61" s="5"/>
      <c r="ALW61" s="5"/>
      <c r="ALX61" s="5"/>
      <c r="ALY61" s="5"/>
      <c r="ALZ61" s="5"/>
      <c r="AMA61" s="5"/>
      <c r="AMB61" s="5"/>
      <c r="AMC61" s="5"/>
      <c r="AMD61" s="5"/>
      <c r="AME61" s="5"/>
    </row>
    <row r="62" spans="1:1019" ht="15.75" customHeight="1" x14ac:dyDescent="0.35">
      <c r="A62" s="87" t="s">
        <v>639</v>
      </c>
      <c r="B62" s="79"/>
      <c r="C62" s="76"/>
      <c r="D62" s="86" t="s">
        <v>651</v>
      </c>
      <c r="E62" s="77">
        <f>75/2000</f>
        <v>3.7499999999999999E-2</v>
      </c>
      <c r="F62" s="77">
        <v>25</v>
      </c>
      <c r="G62" s="72"/>
      <c r="H62" s="783" t="s">
        <v>40</v>
      </c>
      <c r="I62" s="783"/>
      <c r="J62" s="783"/>
      <c r="K62" s="81"/>
      <c r="L62" s="88"/>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5"/>
      <c r="JJ62" s="5"/>
      <c r="JK62" s="5"/>
      <c r="JL62" s="5"/>
      <c r="JM62" s="5"/>
      <c r="JN62" s="5"/>
      <c r="JO62" s="5"/>
      <c r="JP62" s="5"/>
      <c r="JQ62" s="5"/>
      <c r="JR62" s="5"/>
      <c r="JS62" s="5"/>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5"/>
      <c r="LS62" s="5"/>
      <c r="LT62" s="5"/>
      <c r="LU62" s="5"/>
      <c r="LV62" s="5"/>
      <c r="LW62" s="5"/>
      <c r="LX62" s="5"/>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5"/>
      <c r="NH62" s="5"/>
      <c r="NI62" s="5"/>
      <c r="NJ62" s="5"/>
      <c r="NK62" s="5"/>
      <c r="NL62" s="5"/>
      <c r="NM62" s="5"/>
      <c r="NN62" s="5"/>
      <c r="NO62" s="5"/>
      <c r="NP62" s="5"/>
      <c r="NQ62" s="5"/>
      <c r="NR62" s="5"/>
      <c r="NS62" s="5"/>
      <c r="NT62" s="5"/>
      <c r="NU62" s="5"/>
      <c r="NV62" s="5"/>
      <c r="NW62" s="5"/>
      <c r="NX62" s="5"/>
      <c r="NY62" s="5"/>
      <c r="NZ62" s="5"/>
      <c r="OA62" s="5"/>
      <c r="OB62" s="5"/>
      <c r="OC62" s="5"/>
      <c r="OD62" s="5"/>
      <c r="OE62" s="5"/>
      <c r="OF62" s="5"/>
      <c r="OG62" s="5"/>
      <c r="OH62" s="5"/>
      <c r="OI62" s="5"/>
      <c r="OJ62" s="5"/>
      <c r="OK62" s="5"/>
      <c r="OL62" s="5"/>
      <c r="OM62" s="5"/>
      <c r="ON62" s="5"/>
      <c r="OO62" s="5"/>
      <c r="OP62" s="5"/>
      <c r="OQ62" s="5"/>
      <c r="OR62" s="5"/>
      <c r="OS62" s="5"/>
      <c r="OT62" s="5"/>
      <c r="OU62" s="5"/>
      <c r="OV62" s="5"/>
      <c r="OW62" s="5"/>
      <c r="OX62" s="5"/>
      <c r="OY62" s="5"/>
      <c r="OZ62" s="5"/>
      <c r="PA62" s="5"/>
      <c r="PB62" s="5"/>
      <c r="PC62" s="5"/>
      <c r="PD62" s="5"/>
      <c r="PE62" s="5"/>
      <c r="PF62" s="5"/>
      <c r="PG62" s="5"/>
      <c r="PH62" s="5"/>
      <c r="PI62" s="5"/>
      <c r="PJ62" s="5"/>
      <c r="PK62" s="5"/>
      <c r="PL62" s="5"/>
      <c r="PM62" s="5"/>
      <c r="PN62" s="5"/>
      <c r="PO62" s="5"/>
      <c r="PP62" s="5"/>
      <c r="PQ62" s="5"/>
      <c r="PR62" s="5"/>
      <c r="PS62" s="5"/>
      <c r="PT62" s="5"/>
      <c r="PU62" s="5"/>
      <c r="PV62" s="5"/>
      <c r="PW62" s="5"/>
      <c r="PX62" s="5"/>
      <c r="PY62" s="5"/>
      <c r="PZ62" s="5"/>
      <c r="QA62" s="5"/>
      <c r="QB62" s="5"/>
      <c r="QC62" s="5"/>
      <c r="QD62" s="5"/>
      <c r="QE62" s="5"/>
      <c r="QF62" s="5"/>
      <c r="QG62" s="5"/>
      <c r="QH62" s="5"/>
      <c r="QI62" s="5"/>
      <c r="QJ62" s="5"/>
      <c r="QK62" s="5"/>
      <c r="QL62" s="5"/>
      <c r="QM62" s="5"/>
      <c r="QN62" s="5"/>
      <c r="QO62" s="5"/>
      <c r="QP62" s="5"/>
      <c r="QQ62" s="5"/>
      <c r="QR62" s="5"/>
      <c r="QS62" s="5"/>
      <c r="QT62" s="5"/>
      <c r="QU62" s="5"/>
      <c r="QV62" s="5"/>
      <c r="QW62" s="5"/>
      <c r="QX62" s="5"/>
      <c r="QY62" s="5"/>
      <c r="QZ62" s="5"/>
      <c r="RA62" s="5"/>
      <c r="RB62" s="5"/>
      <c r="RC62" s="5"/>
      <c r="RD62" s="5"/>
      <c r="RE62" s="5"/>
      <c r="RF62" s="5"/>
      <c r="RG62" s="5"/>
      <c r="RH62" s="5"/>
      <c r="RI62" s="5"/>
      <c r="RJ62" s="5"/>
      <c r="RK62" s="5"/>
      <c r="RL62" s="5"/>
      <c r="RM62" s="5"/>
      <c r="RN62" s="5"/>
      <c r="RO62" s="5"/>
      <c r="RP62" s="5"/>
      <c r="RQ62" s="5"/>
      <c r="RR62" s="5"/>
      <c r="RS62" s="5"/>
      <c r="RT62" s="5"/>
      <c r="RU62" s="5"/>
      <c r="RV62" s="5"/>
      <c r="RW62" s="5"/>
      <c r="RX62" s="5"/>
      <c r="RY62" s="5"/>
      <c r="RZ62" s="5"/>
      <c r="SA62" s="5"/>
      <c r="SB62" s="5"/>
      <c r="SC62" s="5"/>
      <c r="SD62" s="5"/>
      <c r="SE62" s="5"/>
      <c r="SF62" s="5"/>
      <c r="SG62" s="5"/>
      <c r="SH62" s="5"/>
      <c r="SI62" s="5"/>
      <c r="SJ62" s="5"/>
      <c r="SK62" s="5"/>
      <c r="SL62" s="5"/>
      <c r="SM62" s="5"/>
      <c r="SN62" s="5"/>
      <c r="SO62" s="5"/>
      <c r="SP62" s="5"/>
      <c r="SQ62" s="5"/>
      <c r="SR62" s="5"/>
      <c r="SS62" s="5"/>
      <c r="ST62" s="5"/>
      <c r="SU62" s="5"/>
      <c r="SV62" s="5"/>
      <c r="SW62" s="5"/>
      <c r="SX62" s="5"/>
      <c r="SY62" s="5"/>
      <c r="SZ62" s="5"/>
      <c r="TA62" s="5"/>
      <c r="TB62" s="5"/>
      <c r="TC62" s="5"/>
      <c r="TD62" s="5"/>
      <c r="TE62" s="5"/>
      <c r="TF62" s="5"/>
      <c r="TG62" s="5"/>
      <c r="TH62" s="5"/>
      <c r="TI62" s="5"/>
      <c r="TJ62" s="5"/>
      <c r="TK62" s="5"/>
      <c r="TL62" s="5"/>
      <c r="TM62" s="5"/>
      <c r="TN62" s="5"/>
      <c r="TO62" s="5"/>
      <c r="TP62" s="5"/>
      <c r="TQ62" s="5"/>
      <c r="TR62" s="5"/>
      <c r="TS62" s="5"/>
      <c r="TT62" s="5"/>
      <c r="TU62" s="5"/>
      <c r="TV62" s="5"/>
      <c r="TW62" s="5"/>
      <c r="TX62" s="5"/>
      <c r="TY62" s="5"/>
      <c r="TZ62" s="5"/>
      <c r="UA62" s="5"/>
      <c r="UB62" s="5"/>
      <c r="UC62" s="5"/>
      <c r="UD62" s="5"/>
      <c r="UE62" s="5"/>
      <c r="UF62" s="5"/>
      <c r="UG62" s="5"/>
      <c r="UH62" s="5"/>
      <c r="UI62" s="5"/>
      <c r="UJ62" s="5"/>
      <c r="UK62" s="5"/>
      <c r="UL62" s="5"/>
      <c r="UM62" s="5"/>
      <c r="UN62" s="5"/>
      <c r="UO62" s="5"/>
      <c r="UP62" s="5"/>
      <c r="UQ62" s="5"/>
      <c r="UR62" s="5"/>
      <c r="US62" s="5"/>
      <c r="UT62" s="5"/>
      <c r="UU62" s="5"/>
      <c r="UV62" s="5"/>
      <c r="UW62" s="5"/>
      <c r="UX62" s="5"/>
      <c r="UY62" s="5"/>
      <c r="UZ62" s="5"/>
      <c r="VA62" s="5"/>
      <c r="VB62" s="5"/>
      <c r="VC62" s="5"/>
      <c r="VD62" s="5"/>
      <c r="VE62" s="5"/>
      <c r="VF62" s="5"/>
      <c r="VG62" s="5"/>
      <c r="VH62" s="5"/>
      <c r="VI62" s="5"/>
      <c r="VJ62" s="5"/>
      <c r="VK62" s="5"/>
      <c r="VL62" s="5"/>
      <c r="VM62" s="5"/>
      <c r="VN62" s="5"/>
      <c r="VO62" s="5"/>
      <c r="VP62" s="5"/>
      <c r="VQ62" s="5"/>
      <c r="VR62" s="5"/>
      <c r="VS62" s="5"/>
      <c r="VT62" s="5"/>
      <c r="VU62" s="5"/>
      <c r="VV62" s="5"/>
      <c r="VW62" s="5"/>
      <c r="VX62" s="5"/>
      <c r="VY62" s="5"/>
      <c r="VZ62" s="5"/>
      <c r="WA62" s="5"/>
      <c r="WB62" s="5"/>
      <c r="WC62" s="5"/>
      <c r="WD62" s="5"/>
      <c r="WE62" s="5"/>
      <c r="WF62" s="5"/>
      <c r="WG62" s="5"/>
      <c r="WH62" s="5"/>
      <c r="WI62" s="5"/>
      <c r="WJ62" s="5"/>
      <c r="WK62" s="5"/>
      <c r="WL62" s="5"/>
      <c r="WM62" s="5"/>
      <c r="WN62" s="5"/>
      <c r="WO62" s="5"/>
      <c r="WP62" s="5"/>
      <c r="WQ62" s="5"/>
      <c r="WR62" s="5"/>
      <c r="WS62" s="5"/>
      <c r="WT62" s="5"/>
      <c r="WU62" s="5"/>
      <c r="WV62" s="5"/>
      <c r="WW62" s="5"/>
      <c r="WX62" s="5"/>
      <c r="WY62" s="5"/>
      <c r="WZ62" s="5"/>
      <c r="XA62" s="5"/>
      <c r="XB62" s="5"/>
      <c r="XC62" s="5"/>
      <c r="XD62" s="5"/>
      <c r="XE62" s="5"/>
      <c r="XF62" s="5"/>
      <c r="XG62" s="5"/>
      <c r="XH62" s="5"/>
      <c r="XI62" s="5"/>
      <c r="XJ62" s="5"/>
      <c r="XK62" s="5"/>
      <c r="XL62" s="5"/>
      <c r="XM62" s="5"/>
      <c r="XN62" s="5"/>
      <c r="XO62" s="5"/>
      <c r="XP62" s="5"/>
      <c r="XQ62" s="5"/>
      <c r="XR62" s="5"/>
      <c r="XS62" s="5"/>
      <c r="XT62" s="5"/>
      <c r="XU62" s="5"/>
      <c r="XV62" s="5"/>
      <c r="XW62" s="5"/>
      <c r="XX62" s="5"/>
      <c r="XY62" s="5"/>
      <c r="XZ62" s="5"/>
      <c r="YA62" s="5"/>
      <c r="YB62" s="5"/>
      <c r="YC62" s="5"/>
      <c r="YD62" s="5"/>
      <c r="YE62" s="5"/>
      <c r="YF62" s="5"/>
      <c r="YG62" s="5"/>
      <c r="YH62" s="5"/>
      <c r="YI62" s="5"/>
      <c r="YJ62" s="5"/>
      <c r="YK62" s="5"/>
      <c r="YL62" s="5"/>
      <c r="YM62" s="5"/>
      <c r="YN62" s="5"/>
      <c r="YO62" s="5"/>
      <c r="YP62" s="5"/>
      <c r="YQ62" s="5"/>
      <c r="YR62" s="5"/>
      <c r="YS62" s="5"/>
      <c r="YT62" s="5"/>
      <c r="YU62" s="5"/>
      <c r="YV62" s="5"/>
      <c r="YW62" s="5"/>
      <c r="YX62" s="5"/>
      <c r="YY62" s="5"/>
      <c r="YZ62" s="5"/>
      <c r="ZA62" s="5"/>
      <c r="ZB62" s="5"/>
      <c r="ZC62" s="5"/>
      <c r="ZD62" s="5"/>
      <c r="ZE62" s="5"/>
      <c r="ZF62" s="5"/>
      <c r="ZG62" s="5"/>
      <c r="ZH62" s="5"/>
      <c r="ZI62" s="5"/>
      <c r="ZJ62" s="5"/>
      <c r="ZK62" s="5"/>
      <c r="ZL62" s="5"/>
      <c r="ZM62" s="5"/>
      <c r="ZN62" s="5"/>
      <c r="ZO62" s="5"/>
      <c r="ZP62" s="5"/>
      <c r="ZQ62" s="5"/>
      <c r="ZR62" s="5"/>
      <c r="ZS62" s="5"/>
      <c r="ZT62" s="5"/>
      <c r="ZU62" s="5"/>
      <c r="ZV62" s="5"/>
      <c r="ZW62" s="5"/>
      <c r="ZX62" s="5"/>
      <c r="ZY62" s="5"/>
      <c r="ZZ62" s="5"/>
      <c r="AAA62" s="5"/>
      <c r="AAB62" s="5"/>
      <c r="AAC62" s="5"/>
      <c r="AAD62" s="5"/>
      <c r="AAE62" s="5"/>
      <c r="AAF62" s="5"/>
      <c r="AAG62" s="5"/>
      <c r="AAH62" s="5"/>
      <c r="AAI62" s="5"/>
      <c r="AAJ62" s="5"/>
      <c r="AAK62" s="5"/>
      <c r="AAL62" s="5"/>
      <c r="AAM62" s="5"/>
      <c r="AAN62" s="5"/>
      <c r="AAO62" s="5"/>
      <c r="AAP62" s="5"/>
      <c r="AAQ62" s="5"/>
      <c r="AAR62" s="5"/>
      <c r="AAS62" s="5"/>
      <c r="AAT62" s="5"/>
      <c r="AAU62" s="5"/>
      <c r="AAV62" s="5"/>
      <c r="AAW62" s="5"/>
      <c r="AAX62" s="5"/>
      <c r="AAY62" s="5"/>
      <c r="AAZ62" s="5"/>
      <c r="ABA62" s="5"/>
      <c r="ABB62" s="5"/>
      <c r="ABC62" s="5"/>
      <c r="ABD62" s="5"/>
      <c r="ABE62" s="5"/>
      <c r="ABF62" s="5"/>
      <c r="ABG62" s="5"/>
      <c r="ABH62" s="5"/>
      <c r="ABI62" s="5"/>
      <c r="ABJ62" s="5"/>
      <c r="ABK62" s="5"/>
      <c r="ABL62" s="5"/>
      <c r="ABM62" s="5"/>
      <c r="ABN62" s="5"/>
      <c r="ABO62" s="5"/>
      <c r="ABP62" s="5"/>
      <c r="ABQ62" s="5"/>
      <c r="ABR62" s="5"/>
      <c r="ABS62" s="5"/>
      <c r="ABT62" s="5"/>
      <c r="ABU62" s="5"/>
      <c r="ABV62" s="5"/>
      <c r="ABW62" s="5"/>
      <c r="ABX62" s="5"/>
      <c r="ABY62" s="5"/>
      <c r="ABZ62" s="5"/>
      <c r="ACA62" s="5"/>
      <c r="ACB62" s="5"/>
      <c r="ACC62" s="5"/>
      <c r="ACD62" s="5"/>
      <c r="ACE62" s="5"/>
      <c r="ACF62" s="5"/>
      <c r="ACG62" s="5"/>
      <c r="ACH62" s="5"/>
      <c r="ACI62" s="5"/>
      <c r="ACJ62" s="5"/>
      <c r="ACK62" s="5"/>
      <c r="ACL62" s="5"/>
      <c r="ACM62" s="5"/>
      <c r="ACN62" s="5"/>
      <c r="ACO62" s="5"/>
      <c r="ACP62" s="5"/>
      <c r="ACQ62" s="5"/>
      <c r="ACR62" s="5"/>
      <c r="ACS62" s="5"/>
      <c r="ACT62" s="5"/>
      <c r="ACU62" s="5"/>
      <c r="ACV62" s="5"/>
      <c r="ACW62" s="5"/>
      <c r="ACX62" s="5"/>
      <c r="ACY62" s="5"/>
      <c r="ACZ62" s="5"/>
      <c r="ADA62" s="5"/>
      <c r="ADB62" s="5"/>
      <c r="ADC62" s="5"/>
      <c r="ADD62" s="5"/>
      <c r="ADE62" s="5"/>
      <c r="ADF62" s="5"/>
      <c r="ADG62" s="5"/>
      <c r="ADH62" s="5"/>
      <c r="ADI62" s="5"/>
      <c r="ADJ62" s="5"/>
      <c r="ADK62" s="5"/>
      <c r="ADL62" s="5"/>
      <c r="ADM62" s="5"/>
      <c r="ADN62" s="5"/>
      <c r="ADO62" s="5"/>
      <c r="ADP62" s="5"/>
      <c r="ADQ62" s="5"/>
      <c r="ADR62" s="5"/>
      <c r="ADS62" s="5"/>
      <c r="ADT62" s="5"/>
      <c r="ADU62" s="5"/>
      <c r="ADV62" s="5"/>
      <c r="ADW62" s="5"/>
      <c r="ADX62" s="5"/>
      <c r="ADY62" s="5"/>
      <c r="ADZ62" s="5"/>
      <c r="AEA62" s="5"/>
      <c r="AEB62" s="5"/>
      <c r="AEC62" s="5"/>
      <c r="AED62" s="5"/>
      <c r="AEE62" s="5"/>
      <c r="AEF62" s="5"/>
      <c r="AEG62" s="5"/>
      <c r="AEH62" s="5"/>
      <c r="AEI62" s="5"/>
      <c r="AEJ62" s="5"/>
      <c r="AEK62" s="5"/>
      <c r="AEL62" s="5"/>
      <c r="AEM62" s="5"/>
      <c r="AEN62" s="5"/>
      <c r="AEO62" s="5"/>
      <c r="AEP62" s="5"/>
      <c r="AEQ62" s="5"/>
      <c r="AER62" s="5"/>
      <c r="AES62" s="5"/>
      <c r="AET62" s="5"/>
      <c r="AEU62" s="5"/>
      <c r="AEV62" s="5"/>
      <c r="AEW62" s="5"/>
      <c r="AEX62" s="5"/>
      <c r="AEY62" s="5"/>
      <c r="AEZ62" s="5"/>
      <c r="AFA62" s="5"/>
      <c r="AFB62" s="5"/>
      <c r="AFC62" s="5"/>
      <c r="AFD62" s="5"/>
      <c r="AFE62" s="5"/>
      <c r="AFF62" s="5"/>
      <c r="AFG62" s="5"/>
      <c r="AFH62" s="5"/>
      <c r="AFI62" s="5"/>
      <c r="AFJ62" s="5"/>
      <c r="AFK62" s="5"/>
      <c r="AFL62" s="5"/>
      <c r="AFM62" s="5"/>
      <c r="AFN62" s="5"/>
      <c r="AFO62" s="5"/>
      <c r="AFP62" s="5"/>
      <c r="AFQ62" s="5"/>
      <c r="AFR62" s="5"/>
      <c r="AFS62" s="5"/>
      <c r="AFT62" s="5"/>
      <c r="AFU62" s="5"/>
      <c r="AFV62" s="5"/>
      <c r="AFW62" s="5"/>
      <c r="AFX62" s="5"/>
      <c r="AFY62" s="5"/>
      <c r="AFZ62" s="5"/>
      <c r="AGA62" s="5"/>
      <c r="AGB62" s="5"/>
      <c r="AGC62" s="5"/>
      <c r="AGD62" s="5"/>
      <c r="AGE62" s="5"/>
      <c r="AGF62" s="5"/>
      <c r="AGG62" s="5"/>
      <c r="AGH62" s="5"/>
      <c r="AGI62" s="5"/>
      <c r="AGJ62" s="5"/>
      <c r="AGK62" s="5"/>
      <c r="AGL62" s="5"/>
      <c r="AGM62" s="5"/>
      <c r="AGN62" s="5"/>
      <c r="AGO62" s="5"/>
      <c r="AGP62" s="5"/>
      <c r="AGQ62" s="5"/>
      <c r="AGR62" s="5"/>
      <c r="AGS62" s="5"/>
      <c r="AGT62" s="5"/>
      <c r="AGU62" s="5"/>
      <c r="AGV62" s="5"/>
      <c r="AGW62" s="5"/>
      <c r="AGX62" s="5"/>
      <c r="AGY62" s="5"/>
      <c r="AGZ62" s="5"/>
      <c r="AHA62" s="5"/>
      <c r="AHB62" s="5"/>
      <c r="AHC62" s="5"/>
      <c r="AHD62" s="5"/>
      <c r="AHE62" s="5"/>
      <c r="AHF62" s="5"/>
      <c r="AHG62" s="5"/>
      <c r="AHH62" s="5"/>
      <c r="AHI62" s="5"/>
      <c r="AHJ62" s="5"/>
      <c r="AHK62" s="5"/>
      <c r="AHL62" s="5"/>
      <c r="AHM62" s="5"/>
      <c r="AHN62" s="5"/>
      <c r="AHO62" s="5"/>
      <c r="AHP62" s="5"/>
      <c r="AHQ62" s="5"/>
      <c r="AHR62" s="5"/>
      <c r="AHS62" s="5"/>
      <c r="AHT62" s="5"/>
      <c r="AHU62" s="5"/>
      <c r="AHV62" s="5"/>
      <c r="AHW62" s="5"/>
      <c r="AHX62" s="5"/>
      <c r="AHY62" s="5"/>
      <c r="AHZ62" s="5"/>
      <c r="AIA62" s="5"/>
      <c r="AIB62" s="5"/>
      <c r="AIC62" s="5"/>
      <c r="AID62" s="5"/>
      <c r="AIE62" s="5"/>
      <c r="AIF62" s="5"/>
      <c r="AIG62" s="5"/>
      <c r="AIH62" s="5"/>
      <c r="AII62" s="5"/>
      <c r="AIJ62" s="5"/>
      <c r="AIK62" s="5"/>
      <c r="AIL62" s="5"/>
      <c r="AIM62" s="5"/>
      <c r="AIN62" s="5"/>
      <c r="AIO62" s="5"/>
      <c r="AIP62" s="5"/>
      <c r="AIQ62" s="5"/>
      <c r="AIR62" s="5"/>
      <c r="AIS62" s="5"/>
      <c r="AIT62" s="5"/>
      <c r="AIU62" s="5"/>
      <c r="AIV62" s="5"/>
      <c r="AIW62" s="5"/>
      <c r="AIX62" s="5"/>
      <c r="AIY62" s="5"/>
      <c r="AIZ62" s="5"/>
      <c r="AJA62" s="5"/>
      <c r="AJB62" s="5"/>
      <c r="AJC62" s="5"/>
      <c r="AJD62" s="5"/>
      <c r="AJE62" s="5"/>
      <c r="AJF62" s="5"/>
      <c r="AJG62" s="5"/>
      <c r="AJH62" s="5"/>
      <c r="AJI62" s="5"/>
      <c r="AJJ62" s="5"/>
      <c r="AJK62" s="5"/>
      <c r="AJL62" s="5"/>
      <c r="AJM62" s="5"/>
      <c r="AJN62" s="5"/>
      <c r="AJO62" s="5"/>
      <c r="AJP62" s="5"/>
      <c r="AJQ62" s="5"/>
      <c r="AJR62" s="5"/>
      <c r="AJS62" s="5"/>
      <c r="AJT62" s="5"/>
      <c r="AJU62" s="5"/>
      <c r="AJV62" s="5"/>
      <c r="AJW62" s="5"/>
      <c r="AJX62" s="5"/>
      <c r="AJY62" s="5"/>
      <c r="AJZ62" s="5"/>
      <c r="AKA62" s="5"/>
      <c r="AKB62" s="5"/>
      <c r="AKC62" s="5"/>
      <c r="AKD62" s="5"/>
      <c r="AKE62" s="5"/>
      <c r="AKF62" s="5"/>
      <c r="AKG62" s="5"/>
      <c r="AKH62" s="5"/>
      <c r="AKI62" s="5"/>
      <c r="AKJ62" s="5"/>
      <c r="AKK62" s="5"/>
      <c r="AKL62" s="5"/>
      <c r="AKM62" s="5"/>
      <c r="AKN62" s="5"/>
      <c r="AKO62" s="5"/>
      <c r="AKP62" s="5"/>
      <c r="AKQ62" s="5"/>
      <c r="AKR62" s="5"/>
      <c r="AKS62" s="5"/>
      <c r="AKT62" s="5"/>
      <c r="AKU62" s="5"/>
      <c r="AKV62" s="5"/>
      <c r="AKW62" s="5"/>
      <c r="AKX62" s="5"/>
      <c r="AKY62" s="5"/>
      <c r="AKZ62" s="5"/>
      <c r="ALA62" s="5"/>
      <c r="ALB62" s="5"/>
      <c r="ALC62" s="5"/>
      <c r="ALD62" s="5"/>
      <c r="ALE62" s="5"/>
      <c r="ALF62" s="5"/>
      <c r="ALG62" s="5"/>
      <c r="ALH62" s="5"/>
      <c r="ALI62" s="5"/>
      <c r="ALJ62" s="5"/>
      <c r="ALK62" s="5"/>
      <c r="ALL62" s="5"/>
      <c r="ALM62" s="5"/>
      <c r="ALN62" s="5"/>
      <c r="ALO62" s="5"/>
      <c r="ALP62" s="5"/>
      <c r="ALQ62" s="5"/>
      <c r="ALR62" s="5"/>
      <c r="ALS62" s="5"/>
      <c r="ALT62" s="5"/>
      <c r="ALU62" s="5"/>
      <c r="ALV62" s="5"/>
      <c r="ALW62" s="5"/>
      <c r="ALX62" s="5"/>
      <c r="ALY62" s="5"/>
      <c r="ALZ62" s="5"/>
      <c r="AMA62" s="5"/>
      <c r="AMB62" s="5"/>
      <c r="AMC62" s="5"/>
      <c r="AMD62" s="5"/>
      <c r="AME62" s="5"/>
    </row>
    <row r="63" spans="1:1019" ht="14.45" customHeight="1" x14ac:dyDescent="0.25">
      <c r="A63" s="87" t="s">
        <v>640</v>
      </c>
      <c r="B63" s="79"/>
      <c r="C63" s="76"/>
      <c r="D63" s="86" t="s">
        <v>43</v>
      </c>
      <c r="E63" s="77">
        <v>5.0000000000000001E-4</v>
      </c>
      <c r="F63" s="77">
        <v>25</v>
      </c>
      <c r="G63" s="72"/>
      <c r="H63" s="780" t="s">
        <v>756</v>
      </c>
      <c r="I63" s="780"/>
      <c r="J63" s="780"/>
      <c r="K63" s="780"/>
      <c r="L63" s="72"/>
    </row>
    <row r="64" spans="1:1019" x14ac:dyDescent="0.25">
      <c r="A64" s="87" t="s">
        <v>641</v>
      </c>
      <c r="B64" s="79"/>
      <c r="C64" s="76"/>
      <c r="D64" s="86" t="s">
        <v>43</v>
      </c>
      <c r="E64" s="77">
        <v>5.0000000000000001E-4</v>
      </c>
      <c r="F64" s="77">
        <v>25</v>
      </c>
      <c r="G64" s="72"/>
      <c r="H64" s="780"/>
      <c r="I64" s="780"/>
      <c r="J64" s="780"/>
      <c r="K64" s="780"/>
      <c r="L64" s="72"/>
    </row>
    <row r="65" spans="1:12" ht="15" customHeight="1" x14ac:dyDescent="0.25">
      <c r="A65" s="87" t="s">
        <v>171</v>
      </c>
      <c r="B65" s="79"/>
      <c r="C65" s="76"/>
      <c r="D65" s="86" t="s">
        <v>43</v>
      </c>
      <c r="E65" s="77">
        <f t="shared" si="8"/>
        <v>5.0000000000000001E-4</v>
      </c>
      <c r="F65" s="77">
        <v>500</v>
      </c>
      <c r="G65" s="72"/>
      <c r="H65" s="780"/>
      <c r="I65" s="780"/>
      <c r="J65" s="780"/>
      <c r="K65" s="780"/>
      <c r="L65" s="72"/>
    </row>
    <row r="66" spans="1:12" x14ac:dyDescent="0.25">
      <c r="A66" s="87" t="s">
        <v>9</v>
      </c>
      <c r="B66" s="79"/>
      <c r="C66" s="76"/>
      <c r="D66" s="86" t="s">
        <v>43</v>
      </c>
      <c r="E66" s="77">
        <f t="shared" si="8"/>
        <v>5.0000000000000001E-4</v>
      </c>
      <c r="F66" s="77">
        <v>500</v>
      </c>
      <c r="G66" s="72"/>
      <c r="H66" s="780"/>
      <c r="I66" s="780"/>
      <c r="J66" s="780"/>
      <c r="K66" s="780"/>
      <c r="L66" s="72"/>
    </row>
    <row r="67" spans="1:12" x14ac:dyDescent="0.25">
      <c r="A67" s="87" t="s">
        <v>45</v>
      </c>
      <c r="B67" s="79"/>
      <c r="C67" s="76"/>
      <c r="D67" s="86" t="s">
        <v>43</v>
      </c>
      <c r="E67" s="77">
        <f t="shared" si="8"/>
        <v>5.0000000000000001E-4</v>
      </c>
      <c r="F67" s="77">
        <v>500</v>
      </c>
      <c r="G67" s="72"/>
      <c r="H67" s="780"/>
      <c r="I67" s="780"/>
      <c r="J67" s="780"/>
      <c r="K67" s="780"/>
      <c r="L67" s="72"/>
    </row>
    <row r="68" spans="1:12" ht="14.45" customHeight="1" x14ac:dyDescent="0.25">
      <c r="A68" s="87" t="s">
        <v>46</v>
      </c>
      <c r="B68" s="79"/>
      <c r="C68" s="76"/>
      <c r="D68" s="86" t="s">
        <v>43</v>
      </c>
      <c r="E68" s="77">
        <v>5.0000000000000001E-4</v>
      </c>
      <c r="F68" s="77">
        <v>25</v>
      </c>
      <c r="G68" s="72"/>
      <c r="H68" s="72"/>
      <c r="I68" s="782" t="s">
        <v>147</v>
      </c>
      <c r="J68" s="782"/>
      <c r="K68" s="782"/>
      <c r="L68" s="782"/>
    </row>
    <row r="69" spans="1:12" x14ac:dyDescent="0.25">
      <c r="A69" s="87"/>
      <c r="B69" s="79"/>
      <c r="C69" s="76"/>
      <c r="D69" s="86"/>
      <c r="E69" s="77"/>
      <c r="F69" s="77"/>
      <c r="G69" s="72"/>
      <c r="H69" s="72"/>
      <c r="I69" s="782"/>
      <c r="J69" s="782"/>
      <c r="K69" s="782"/>
      <c r="L69" s="782"/>
    </row>
    <row r="70" spans="1:12" x14ac:dyDescent="0.25">
      <c r="A70" s="87" t="s">
        <v>47</v>
      </c>
      <c r="B70" s="79"/>
      <c r="C70" s="76"/>
      <c r="D70" s="86" t="s">
        <v>43</v>
      </c>
      <c r="E70" s="77">
        <f t="shared" ref="E70:E81" si="9">1/2000</f>
        <v>5.0000000000000001E-4</v>
      </c>
      <c r="F70" s="77">
        <v>1000</v>
      </c>
      <c r="G70" s="72"/>
      <c r="H70" s="90" t="s">
        <v>747</v>
      </c>
      <c r="I70" s="91" t="s">
        <v>1</v>
      </c>
      <c r="J70" s="83" t="s">
        <v>30</v>
      </c>
      <c r="K70" s="83" t="s">
        <v>146</v>
      </c>
      <c r="L70" s="72"/>
    </row>
    <row r="71" spans="1:12" x14ac:dyDescent="0.25">
      <c r="A71" s="87" t="s">
        <v>12</v>
      </c>
      <c r="B71" s="79"/>
      <c r="C71" s="76"/>
      <c r="D71" s="86" t="s">
        <v>43</v>
      </c>
      <c r="E71" s="77">
        <f t="shared" si="9"/>
        <v>5.0000000000000001E-4</v>
      </c>
      <c r="F71" s="77">
        <v>1000</v>
      </c>
      <c r="G71" s="72"/>
      <c r="H71" s="76"/>
      <c r="I71" s="86"/>
      <c r="J71" s="77"/>
      <c r="K71" s="77"/>
      <c r="L71" s="72"/>
    </row>
    <row r="72" spans="1:12" ht="14.45" customHeight="1" x14ac:dyDescent="0.25">
      <c r="A72" s="87" t="s">
        <v>642</v>
      </c>
      <c r="B72" s="79"/>
      <c r="C72" s="76"/>
      <c r="D72" s="86" t="s">
        <v>43</v>
      </c>
      <c r="E72" s="77">
        <f t="shared" si="9"/>
        <v>5.0000000000000001E-4</v>
      </c>
      <c r="F72" s="77">
        <v>500</v>
      </c>
      <c r="G72" s="72"/>
      <c r="H72" s="76" t="s">
        <v>728</v>
      </c>
      <c r="I72" s="86" t="s">
        <v>43</v>
      </c>
      <c r="J72" s="77">
        <f t="shared" ref="J72" si="10">1/2000</f>
        <v>5.0000000000000001E-4</v>
      </c>
      <c r="K72" s="77">
        <v>1000</v>
      </c>
      <c r="L72" s="72"/>
    </row>
    <row r="73" spans="1:12" x14ac:dyDescent="0.25">
      <c r="A73" s="87" t="s">
        <v>643</v>
      </c>
      <c r="B73" s="79"/>
      <c r="C73" s="76"/>
      <c r="D73" s="86" t="s">
        <v>43</v>
      </c>
      <c r="E73" s="77">
        <f t="shared" si="9"/>
        <v>5.0000000000000001E-4</v>
      </c>
      <c r="F73" s="77">
        <v>500</v>
      </c>
      <c r="G73" s="72"/>
      <c r="H73" s="89" t="s">
        <v>345</v>
      </c>
      <c r="I73" s="77" t="s">
        <v>48</v>
      </c>
      <c r="J73" s="77">
        <v>4.17</v>
      </c>
      <c r="K73" s="77">
        <v>50</v>
      </c>
      <c r="L73" s="72"/>
    </row>
    <row r="74" spans="1:12" x14ac:dyDescent="0.25">
      <c r="A74" s="87" t="s">
        <v>644</v>
      </c>
      <c r="B74" s="79"/>
      <c r="C74" s="76"/>
      <c r="D74" s="86" t="s">
        <v>43</v>
      </c>
      <c r="E74" s="77">
        <f t="shared" si="9"/>
        <v>5.0000000000000001E-4</v>
      </c>
      <c r="F74" s="77">
        <v>500</v>
      </c>
      <c r="G74" s="72"/>
      <c r="H74" s="89" t="s">
        <v>366</v>
      </c>
      <c r="I74" s="77" t="s">
        <v>4</v>
      </c>
      <c r="J74" s="77">
        <v>1</v>
      </c>
      <c r="K74" s="77">
        <v>0</v>
      </c>
      <c r="L74" s="72"/>
    </row>
    <row r="75" spans="1:12" x14ac:dyDescent="0.25">
      <c r="A75" s="87" t="s">
        <v>645</v>
      </c>
      <c r="B75" s="79"/>
      <c r="C75" s="76"/>
      <c r="D75" s="86" t="s">
        <v>43</v>
      </c>
      <c r="E75" s="77">
        <f t="shared" si="9"/>
        <v>5.0000000000000001E-4</v>
      </c>
      <c r="F75" s="77">
        <v>500</v>
      </c>
      <c r="G75" s="72"/>
      <c r="H75" s="89" t="s">
        <v>367</v>
      </c>
      <c r="I75" s="77" t="s">
        <v>4</v>
      </c>
      <c r="J75" s="77">
        <v>1</v>
      </c>
      <c r="K75" s="77">
        <v>50</v>
      </c>
      <c r="L75" s="72"/>
    </row>
    <row r="76" spans="1:12" x14ac:dyDescent="0.25">
      <c r="A76" s="87" t="s">
        <v>646</v>
      </c>
      <c r="B76" s="79"/>
      <c r="C76" s="76"/>
      <c r="D76" s="86" t="s">
        <v>43</v>
      </c>
      <c r="E76" s="77">
        <f t="shared" si="9"/>
        <v>5.0000000000000001E-4</v>
      </c>
      <c r="F76" s="77">
        <v>500</v>
      </c>
      <c r="G76" s="115"/>
      <c r="H76" s="89" t="s">
        <v>364</v>
      </c>
      <c r="I76" s="77" t="s">
        <v>4</v>
      </c>
      <c r="J76" s="77">
        <v>1</v>
      </c>
      <c r="K76" s="77">
        <v>25</v>
      </c>
      <c r="L76" s="72"/>
    </row>
    <row r="77" spans="1:12" ht="15" customHeight="1" x14ac:dyDescent="0.25">
      <c r="A77" s="87" t="s">
        <v>11</v>
      </c>
      <c r="B77" s="79"/>
      <c r="C77" s="76"/>
      <c r="D77" s="86" t="s">
        <v>43</v>
      </c>
      <c r="E77" s="77">
        <f t="shared" si="9"/>
        <v>5.0000000000000001E-4</v>
      </c>
      <c r="F77" s="77">
        <v>1000</v>
      </c>
      <c r="G77" s="72"/>
      <c r="H77" s="89" t="s">
        <v>365</v>
      </c>
      <c r="I77" s="77" t="s">
        <v>4</v>
      </c>
      <c r="J77" s="77">
        <v>1</v>
      </c>
      <c r="K77" s="77">
        <v>500</v>
      </c>
      <c r="L77" s="94"/>
    </row>
    <row r="78" spans="1:12" ht="15" customHeight="1" x14ac:dyDescent="0.25">
      <c r="A78" s="87" t="s">
        <v>647</v>
      </c>
      <c r="B78" s="79"/>
      <c r="C78" s="76"/>
      <c r="D78" s="86" t="s">
        <v>43</v>
      </c>
      <c r="E78" s="77">
        <f t="shared" si="9"/>
        <v>5.0000000000000001E-4</v>
      </c>
      <c r="F78" s="77">
        <v>500</v>
      </c>
      <c r="G78" s="72"/>
      <c r="H78" s="76"/>
      <c r="I78" s="76"/>
      <c r="J78" s="76"/>
      <c r="K78" s="76"/>
      <c r="L78" s="94"/>
    </row>
    <row r="79" spans="1:12" ht="15" customHeight="1" x14ac:dyDescent="0.25">
      <c r="A79" s="87" t="s">
        <v>648</v>
      </c>
      <c r="B79" s="79"/>
      <c r="C79" s="76"/>
      <c r="D79" s="86" t="s">
        <v>43</v>
      </c>
      <c r="E79" s="77">
        <f t="shared" si="9"/>
        <v>5.0000000000000001E-4</v>
      </c>
      <c r="F79" s="77">
        <v>500</v>
      </c>
      <c r="G79" s="72"/>
      <c r="H79" s="89" t="str">
        <f>'User Defined Factors'!A40</f>
        <v>User-defined recycled/reused on-site #1</v>
      </c>
      <c r="I79" s="77" t="str">
        <f>'User Defined Factors'!B40</f>
        <v>TBD</v>
      </c>
      <c r="J79" s="77" t="str">
        <f>'User Defined Factors'!C40</f>
        <v>TBD</v>
      </c>
      <c r="K79" s="77">
        <v>0</v>
      </c>
      <c r="L79" s="94"/>
    </row>
    <row r="80" spans="1:12" ht="15" customHeight="1" x14ac:dyDescent="0.25">
      <c r="A80" s="87" t="s">
        <v>649</v>
      </c>
      <c r="B80" s="79"/>
      <c r="C80" s="76"/>
      <c r="D80" s="86" t="s">
        <v>43</v>
      </c>
      <c r="E80" s="77">
        <f t="shared" si="9"/>
        <v>5.0000000000000001E-4</v>
      </c>
      <c r="F80" s="77">
        <v>500</v>
      </c>
      <c r="G80" s="72"/>
      <c r="H80" s="89" t="str">
        <f>'User Defined Factors'!A41</f>
        <v>User-defined recycled/reused on-site #2</v>
      </c>
      <c r="I80" s="77" t="str">
        <f>'User Defined Factors'!B41</f>
        <v>TBD</v>
      </c>
      <c r="J80" s="77" t="str">
        <f>'User Defined Factors'!C41</f>
        <v>TBD</v>
      </c>
      <c r="K80" s="77">
        <v>0</v>
      </c>
      <c r="L80" s="94"/>
    </row>
    <row r="81" spans="1:1019" ht="15" customHeight="1" x14ac:dyDescent="0.25">
      <c r="A81" s="87" t="s">
        <v>150</v>
      </c>
      <c r="B81" s="79"/>
      <c r="C81" s="76"/>
      <c r="D81" s="86" t="s">
        <v>43</v>
      </c>
      <c r="E81" s="77">
        <f t="shared" si="9"/>
        <v>5.0000000000000001E-4</v>
      </c>
      <c r="F81" s="77">
        <v>500</v>
      </c>
      <c r="G81" s="72"/>
      <c r="H81" s="89" t="str">
        <f>'User Defined Factors'!A42</f>
        <v>User-defined recycled/reused on-site #3</v>
      </c>
      <c r="I81" s="77" t="str">
        <f>'User Defined Factors'!B42</f>
        <v>TBD</v>
      </c>
      <c r="J81" s="77" t="str">
        <f>'User Defined Factors'!C42</f>
        <v>TBD</v>
      </c>
      <c r="K81" s="77">
        <v>0</v>
      </c>
      <c r="L81" s="94"/>
    </row>
    <row r="82" spans="1:1019" ht="15" customHeight="1" x14ac:dyDescent="0.25">
      <c r="A82" s="102"/>
      <c r="B82" s="92"/>
      <c r="C82" s="93"/>
      <c r="D82" s="86"/>
      <c r="E82" s="77"/>
      <c r="F82" s="77"/>
      <c r="G82" s="72"/>
      <c r="H82" s="89" t="str">
        <f>'User Defined Factors'!A43</f>
        <v>User-defined recycled/reused off-site #1</v>
      </c>
      <c r="I82" s="77" t="str">
        <f>'User Defined Factors'!B43</f>
        <v>TBD</v>
      </c>
      <c r="J82" s="77" t="str">
        <f>'User Defined Factors'!C43</f>
        <v>TBD</v>
      </c>
      <c r="K82" s="77">
        <v>50</v>
      </c>
      <c r="L82" s="94"/>
    </row>
    <row r="83" spans="1:1019" ht="15" customHeight="1" x14ac:dyDescent="0.25">
      <c r="A83" s="87"/>
      <c r="B83" s="79"/>
      <c r="C83" s="80"/>
      <c r="D83" s="80"/>
      <c r="E83" s="77"/>
      <c r="F83" s="77"/>
      <c r="G83" s="72"/>
      <c r="H83" s="89" t="str">
        <f>'User Defined Factors'!A44</f>
        <v>User-defined recycled/reused off-site #2</v>
      </c>
      <c r="I83" s="77" t="str">
        <f>'User Defined Factors'!B44</f>
        <v>TBD</v>
      </c>
      <c r="J83" s="77" t="str">
        <f>'User Defined Factors'!C44</f>
        <v>TBD</v>
      </c>
      <c r="K83" s="77">
        <v>50</v>
      </c>
      <c r="L83" s="94"/>
    </row>
    <row r="84" spans="1:1019" ht="15" customHeight="1" x14ac:dyDescent="0.25">
      <c r="A84" s="87" t="str">
        <f>'User Defined Factors'!A18</f>
        <v>User-defined material #1</v>
      </c>
      <c r="B84" s="79"/>
      <c r="C84" s="80"/>
      <c r="D84" s="77" t="str">
        <f>'User Defined Factors'!B18</f>
        <v>TBD</v>
      </c>
      <c r="E84" s="77" t="str">
        <f>'User Defined Factors'!C18</f>
        <v>TBD</v>
      </c>
      <c r="F84" s="77">
        <v>500</v>
      </c>
      <c r="G84" s="72"/>
      <c r="H84" s="89" t="str">
        <f>'User Defined Factors'!A45</f>
        <v>User-defined recycled/reused off-site #3</v>
      </c>
      <c r="I84" s="77" t="str">
        <f>'User Defined Factors'!B45</f>
        <v>TBD</v>
      </c>
      <c r="J84" s="77" t="str">
        <f>'User Defined Factors'!C45</f>
        <v>TBD</v>
      </c>
      <c r="K84" s="77">
        <v>50</v>
      </c>
      <c r="L84" s="94"/>
    </row>
    <row r="85" spans="1:1019" ht="15" customHeight="1" x14ac:dyDescent="0.25">
      <c r="A85" s="87" t="str">
        <f>'User Defined Factors'!A19</f>
        <v>User-defined material #2</v>
      </c>
      <c r="B85" s="79"/>
      <c r="C85" s="80"/>
      <c r="D85" s="77" t="str">
        <f>'User Defined Factors'!B19</f>
        <v>TBD</v>
      </c>
      <c r="E85" s="77" t="str">
        <f>'User Defined Factors'!C19</f>
        <v>TBD</v>
      </c>
      <c r="F85" s="77">
        <v>500</v>
      </c>
      <c r="G85" s="72"/>
      <c r="H85" s="89" t="str">
        <f>'User Defined Factors'!A46</f>
        <v>User-defined non-hazardous waste destination #1</v>
      </c>
      <c r="I85" s="77" t="str">
        <f>'User Defined Factors'!B46</f>
        <v>TBD</v>
      </c>
      <c r="J85" s="77" t="str">
        <f>'User Defined Factors'!C46</f>
        <v>TBD</v>
      </c>
      <c r="K85" s="77">
        <v>25</v>
      </c>
      <c r="L85" s="94"/>
    </row>
    <row r="86" spans="1:1019" ht="15" customHeight="1" x14ac:dyDescent="0.25">
      <c r="A86" s="87" t="str">
        <f>'User Defined Factors'!A20</f>
        <v>User-defined material #3</v>
      </c>
      <c r="B86" s="79"/>
      <c r="C86" s="80"/>
      <c r="D86" s="77" t="str">
        <f>'User Defined Factors'!B20</f>
        <v>TBD</v>
      </c>
      <c r="E86" s="77" t="str">
        <f>'User Defined Factors'!C20</f>
        <v>TBD</v>
      </c>
      <c r="F86" s="77">
        <v>500</v>
      </c>
      <c r="G86" s="72"/>
      <c r="H86" s="89" t="str">
        <f>'User Defined Factors'!A47</f>
        <v>User-defined non-hazardous waste destination #2</v>
      </c>
      <c r="I86" s="77" t="str">
        <f>'User Defined Factors'!B47</f>
        <v>TBD</v>
      </c>
      <c r="J86" s="77" t="str">
        <f>'User Defined Factors'!C47</f>
        <v>TBD</v>
      </c>
      <c r="K86" s="77">
        <v>25</v>
      </c>
      <c r="L86" s="94"/>
    </row>
    <row r="87" spans="1:1019" x14ac:dyDescent="0.25">
      <c r="A87" s="87" t="str">
        <f>'User Defined Factors'!A21</f>
        <v>User-defined material #4</v>
      </c>
      <c r="B87" s="79"/>
      <c r="C87" s="80"/>
      <c r="D87" s="77" t="str">
        <f>'User Defined Factors'!B21</f>
        <v>TBD</v>
      </c>
      <c r="E87" s="77" t="str">
        <f>'User Defined Factors'!C21</f>
        <v>TBD</v>
      </c>
      <c r="F87" s="77">
        <v>500</v>
      </c>
      <c r="G87" s="72"/>
      <c r="H87" s="89" t="str">
        <f>'User Defined Factors'!A48</f>
        <v>User-defined non-hazardous waste destination #3</v>
      </c>
      <c r="I87" s="77" t="str">
        <f>'User Defined Factors'!B48</f>
        <v>TBD</v>
      </c>
      <c r="J87" s="77" t="str">
        <f>'User Defined Factors'!C48</f>
        <v>TBD</v>
      </c>
      <c r="K87" s="77">
        <v>25</v>
      </c>
      <c r="L87" s="72"/>
    </row>
    <row r="88" spans="1:1019" x14ac:dyDescent="0.25">
      <c r="A88" s="87" t="str">
        <f>'User Defined Factors'!A22</f>
        <v>User-defined material #5</v>
      </c>
      <c r="B88" s="79"/>
      <c r="C88" s="80"/>
      <c r="D88" s="77" t="str">
        <f>'User Defined Factors'!B22</f>
        <v>TBD</v>
      </c>
      <c r="E88" s="77" t="str">
        <f>'User Defined Factors'!C22</f>
        <v>TBD</v>
      </c>
      <c r="F88" s="77">
        <v>500</v>
      </c>
      <c r="G88" s="72"/>
      <c r="H88" s="89" t="str">
        <f>'User Defined Factors'!A49</f>
        <v>User-defined hazardous waste destination #1</v>
      </c>
      <c r="I88" s="77" t="str">
        <f>'User Defined Factors'!B49</f>
        <v>TBD</v>
      </c>
      <c r="J88" s="77" t="str">
        <f>'User Defined Factors'!C49</f>
        <v>TBD</v>
      </c>
      <c r="K88" s="77">
        <v>500</v>
      </c>
      <c r="L88" s="72"/>
    </row>
    <row r="89" spans="1:1019" x14ac:dyDescent="0.25">
      <c r="A89" s="87" t="str">
        <f>'User Defined Factors'!A23</f>
        <v>User-defined material #6</v>
      </c>
      <c r="B89" s="79"/>
      <c r="C89" s="80"/>
      <c r="D89" s="77" t="str">
        <f>'User Defined Factors'!B23</f>
        <v>TBD</v>
      </c>
      <c r="E89" s="77" t="str">
        <f>'User Defined Factors'!C23</f>
        <v>TBD</v>
      </c>
      <c r="F89" s="77">
        <v>500</v>
      </c>
      <c r="G89" s="72"/>
      <c r="H89" s="89" t="str">
        <f>'User Defined Factors'!A50</f>
        <v>User-defined hazardous waste destination #2</v>
      </c>
      <c r="I89" s="77" t="str">
        <f>'User Defined Factors'!B50</f>
        <v>TBD</v>
      </c>
      <c r="J89" s="77" t="str">
        <f>'User Defined Factors'!C50</f>
        <v>TBD</v>
      </c>
      <c r="K89" s="77">
        <v>500</v>
      </c>
      <c r="L89" s="72"/>
    </row>
    <row r="90" spans="1:1019" x14ac:dyDescent="0.25">
      <c r="A90" s="87" t="str">
        <f>'User Defined Factors'!A24</f>
        <v>User-defined material #7</v>
      </c>
      <c r="B90" s="79"/>
      <c r="C90" s="80"/>
      <c r="D90" s="77" t="str">
        <f>'User Defined Factors'!B24</f>
        <v>TBD</v>
      </c>
      <c r="E90" s="77" t="str">
        <f>'User Defined Factors'!C24</f>
        <v>TBD</v>
      </c>
      <c r="F90" s="77">
        <v>500</v>
      </c>
      <c r="G90" s="72"/>
      <c r="H90" s="89" t="str">
        <f>'User Defined Factors'!A51</f>
        <v>User-defined hazardous waste destination #3</v>
      </c>
      <c r="I90" s="77" t="str">
        <f>'User Defined Factors'!B51</f>
        <v>TBD</v>
      </c>
      <c r="J90" s="77" t="str">
        <f>'User Defined Factors'!C51</f>
        <v>TBD</v>
      </c>
      <c r="K90" s="77">
        <v>500</v>
      </c>
      <c r="L90" s="72"/>
    </row>
    <row r="91" spans="1:1019" ht="23.25" x14ac:dyDescent="0.25">
      <c r="A91" s="87" t="str">
        <f>'User Defined Factors'!A25</f>
        <v>User-defined material #8</v>
      </c>
      <c r="B91" s="79"/>
      <c r="C91" s="80"/>
      <c r="D91" s="77" t="str">
        <f>'User Defined Factors'!B25</f>
        <v>TBD</v>
      </c>
      <c r="E91" s="77" t="str">
        <f>'User Defined Factors'!C25</f>
        <v>TBD</v>
      </c>
      <c r="F91" s="77">
        <v>500</v>
      </c>
      <c r="G91" s="72"/>
      <c r="H91" s="72"/>
      <c r="I91" s="72"/>
      <c r="J91" s="72"/>
      <c r="K91" s="94"/>
      <c r="L91" s="72"/>
    </row>
    <row r="92" spans="1:1019" ht="23.25" x14ac:dyDescent="0.25">
      <c r="A92" s="87" t="str">
        <f>'User Defined Factors'!A26</f>
        <v>User-defined material #9</v>
      </c>
      <c r="B92" s="79"/>
      <c r="C92" s="80"/>
      <c r="D92" s="77" t="str">
        <f>'User Defined Factors'!B26</f>
        <v>TBD</v>
      </c>
      <c r="E92" s="77" t="str">
        <f>'User Defined Factors'!C26</f>
        <v>TBD</v>
      </c>
      <c r="F92" s="77">
        <v>500</v>
      </c>
      <c r="G92" s="72"/>
      <c r="H92" s="90" t="s">
        <v>748</v>
      </c>
      <c r="I92" s="91" t="s">
        <v>1</v>
      </c>
      <c r="J92" s="83" t="s">
        <v>30</v>
      </c>
      <c r="K92" s="94"/>
      <c r="L92" s="72"/>
    </row>
    <row r="93" spans="1:1019" x14ac:dyDescent="0.25">
      <c r="A93" s="87" t="str">
        <f>'User Defined Factors'!A27</f>
        <v>User-defined material #10</v>
      </c>
      <c r="B93" s="79"/>
      <c r="C93" s="80"/>
      <c r="D93" s="77" t="str">
        <f>'User Defined Factors'!B27</f>
        <v>TBD</v>
      </c>
      <c r="E93" s="77" t="str">
        <f>'User Defined Factors'!C27</f>
        <v>TBD</v>
      </c>
      <c r="F93" s="77">
        <v>500</v>
      </c>
      <c r="G93" s="72"/>
      <c r="H93" s="76" t="s">
        <v>204</v>
      </c>
      <c r="I93" s="77" t="s">
        <v>48</v>
      </c>
      <c r="J93" s="77">
        <v>4.17</v>
      </c>
      <c r="K93" s="95"/>
      <c r="L93" s="72"/>
    </row>
    <row r="94" spans="1:1019" x14ac:dyDescent="0.25">
      <c r="A94" s="87" t="str">
        <f>'User Defined Factors'!A28</f>
        <v>User-defined material #11</v>
      </c>
      <c r="B94" s="79"/>
      <c r="C94" s="80"/>
      <c r="D94" s="77" t="str">
        <f>'User Defined Factors'!B28</f>
        <v>TBD</v>
      </c>
      <c r="E94" s="77" t="str">
        <f>'User Defined Factors'!C28</f>
        <v>TBD</v>
      </c>
      <c r="F94" s="77">
        <v>500</v>
      </c>
      <c r="G94" s="72"/>
      <c r="H94" s="76" t="s">
        <v>195</v>
      </c>
      <c r="I94" s="77" t="s">
        <v>48</v>
      </c>
      <c r="J94" s="77">
        <v>4.17</v>
      </c>
      <c r="K94" s="95"/>
      <c r="L94" s="72"/>
    </row>
    <row r="95" spans="1:1019" x14ac:dyDescent="0.25">
      <c r="A95" s="87" t="str">
        <f>'User Defined Factors'!A29</f>
        <v>User-defined material #12</v>
      </c>
      <c r="B95" s="79"/>
      <c r="C95" s="80"/>
      <c r="D95" s="77" t="str">
        <f>'User Defined Factors'!B29</f>
        <v>TBD</v>
      </c>
      <c r="E95" s="77" t="str">
        <f>'User Defined Factors'!C29</f>
        <v>TBD</v>
      </c>
      <c r="F95" s="77">
        <v>500</v>
      </c>
      <c r="G95" s="72"/>
      <c r="H95" s="76" t="s">
        <v>196</v>
      </c>
      <c r="I95" s="77" t="s">
        <v>48</v>
      </c>
      <c r="J95" s="77">
        <v>4.17</v>
      </c>
      <c r="K95" s="95"/>
      <c r="L95" s="72"/>
    </row>
    <row r="96" spans="1:1019" s="72" customFormat="1" x14ac:dyDescent="0.25">
      <c r="A96" s="87" t="str">
        <f>'User Defined Factors'!A30</f>
        <v>User-defined material #13</v>
      </c>
      <c r="B96" s="79"/>
      <c r="C96" s="80"/>
      <c r="D96" s="77" t="str">
        <f>'User Defined Factors'!B30</f>
        <v>TBD</v>
      </c>
      <c r="E96" s="77" t="str">
        <f>'User Defined Factors'!C30</f>
        <v>TBD</v>
      </c>
      <c r="F96" s="77">
        <v>500</v>
      </c>
      <c r="H96" s="76" t="s">
        <v>197</v>
      </c>
      <c r="I96" s="77" t="s">
        <v>48</v>
      </c>
      <c r="J96" s="77">
        <v>4.17</v>
      </c>
      <c r="K96" s="95"/>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row>
    <row r="97" spans="1:1019" s="72" customFormat="1" x14ac:dyDescent="0.25">
      <c r="A97" s="87" t="str">
        <f>'User Defined Factors'!A31</f>
        <v>User-defined material #14</v>
      </c>
      <c r="B97" s="79"/>
      <c r="C97" s="80"/>
      <c r="D97" s="77" t="str">
        <f>'User Defined Factors'!B31</f>
        <v>TBD</v>
      </c>
      <c r="E97" s="77" t="str">
        <f>'User Defined Factors'!C31</f>
        <v>TBD</v>
      </c>
      <c r="F97" s="77">
        <v>500</v>
      </c>
      <c r="H97" s="76" t="s">
        <v>198</v>
      </c>
      <c r="I97" s="77" t="s">
        <v>48</v>
      </c>
      <c r="J97" s="77">
        <v>4.17</v>
      </c>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row>
    <row r="98" spans="1:1019" s="72" customFormat="1" x14ac:dyDescent="0.25">
      <c r="A98" s="87" t="str">
        <f>'User Defined Factors'!A32</f>
        <v>User-defined material #15</v>
      </c>
      <c r="B98" s="79"/>
      <c r="C98" s="80"/>
      <c r="D98" s="77" t="str">
        <f>'User Defined Factors'!B32</f>
        <v>TBD</v>
      </c>
      <c r="E98" s="77" t="str">
        <f>'User Defined Factors'!C32</f>
        <v>TBD</v>
      </c>
      <c r="F98" s="77">
        <v>500</v>
      </c>
      <c r="H98" s="76" t="str">
        <f>'User Defined Factors'!A62</f>
        <v>User-defined water resource #1</v>
      </c>
      <c r="I98" s="77" t="str">
        <f>IF(ISBLANK('User Defined Factors'!B62)=TRUE,"gal x 1000",'User Defined Factors'!B62)</f>
        <v>gal x 1000</v>
      </c>
      <c r="J98" s="77">
        <f>IF(ISBLANK('User Defined Factors'!C62)=TRUE,4.17,'User Defined Factors'!C62)</f>
        <v>4.17</v>
      </c>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row>
    <row r="99" spans="1:1019" s="72" customFormat="1" x14ac:dyDescent="0.25">
      <c r="A99" s="87" t="str">
        <f>'User Defined Factors'!A33</f>
        <v>User-defined material #16</v>
      </c>
      <c r="B99" s="79"/>
      <c r="C99" s="80"/>
      <c r="D99" s="77" t="str">
        <f>'User Defined Factors'!B33</f>
        <v>TBD</v>
      </c>
      <c r="E99" s="77" t="str">
        <f>'User Defined Factors'!C33</f>
        <v>TBD</v>
      </c>
      <c r="F99" s="77">
        <v>500</v>
      </c>
      <c r="H99" s="76" t="str">
        <f>'User Defined Factors'!A63</f>
        <v>User-defined water resource #2</v>
      </c>
      <c r="I99" s="77" t="str">
        <f>IF(ISBLANK('User Defined Factors'!B63)=TRUE,"gal x 1000",'User Defined Factors'!B63)</f>
        <v>gal x 1000</v>
      </c>
      <c r="J99" s="77">
        <f>IF(ISBLANK('User Defined Factors'!C63)=TRUE,4.17,'User Defined Factors'!C63)</f>
        <v>4.17</v>
      </c>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row>
    <row r="100" spans="1:1019" s="72" customFormat="1" x14ac:dyDescent="0.25">
      <c r="A100" s="87" t="str">
        <f>'User Defined Factors'!A34</f>
        <v>User-defined material #17</v>
      </c>
      <c r="B100" s="79"/>
      <c r="C100" s="80"/>
      <c r="D100" s="77" t="str">
        <f>'User Defined Factors'!B34</f>
        <v>TBD</v>
      </c>
      <c r="E100" s="77" t="str">
        <f>'User Defined Factors'!C34</f>
        <v>TBD</v>
      </c>
      <c r="F100" s="77">
        <v>500</v>
      </c>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row>
    <row r="101" spans="1:1019" s="72" customFormat="1" x14ac:dyDescent="0.25">
      <c r="A101" s="87" t="str">
        <f>'User Defined Factors'!A35</f>
        <v>User-defined material #18</v>
      </c>
      <c r="B101" s="79"/>
      <c r="C101" s="80"/>
      <c r="D101" s="77" t="str">
        <f>'User Defined Factors'!B35</f>
        <v>TBD</v>
      </c>
      <c r="E101" s="77" t="str">
        <f>'User Defined Factors'!C35</f>
        <v>TBD</v>
      </c>
      <c r="F101" s="77">
        <v>500</v>
      </c>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row>
    <row r="102" spans="1:1019" s="72" customFormat="1" x14ac:dyDescent="0.25">
      <c r="A102" s="87" t="str">
        <f>'User Defined Factors'!A36</f>
        <v>User-defined material #19</v>
      </c>
      <c r="B102" s="79"/>
      <c r="C102" s="80"/>
      <c r="D102" s="77" t="str">
        <f>'User Defined Factors'!B36</f>
        <v>TBD</v>
      </c>
      <c r="E102" s="77" t="str">
        <f>'User Defined Factors'!C36</f>
        <v>TBD</v>
      </c>
      <c r="F102" s="77">
        <v>500</v>
      </c>
      <c r="H102" s="375" t="s">
        <v>749</v>
      </c>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row>
    <row r="103" spans="1:1019" s="72" customFormat="1" x14ac:dyDescent="0.25">
      <c r="A103" s="87" t="str">
        <f>'User Defined Factors'!A37</f>
        <v>User-defined material #20</v>
      </c>
      <c r="B103" s="79"/>
      <c r="C103" s="80"/>
      <c r="D103" s="77" t="str">
        <f>'User Defined Factors'!B37</f>
        <v>TBD</v>
      </c>
      <c r="E103" s="77" t="str">
        <f>'User Defined Factors'!C37</f>
        <v>TBD</v>
      </c>
      <c r="F103" s="77">
        <v>500</v>
      </c>
      <c r="H103" s="76" t="s">
        <v>695</v>
      </c>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row>
    <row r="104" spans="1:1019" s="72" customFormat="1" x14ac:dyDescent="0.25">
      <c r="A104" s="96" t="s">
        <v>755</v>
      </c>
      <c r="H104" s="76" t="s">
        <v>696</v>
      </c>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row>
    <row r="105" spans="1:1019" s="72" customFormat="1" x14ac:dyDescent="0.25">
      <c r="A105" s="440"/>
      <c r="H105" s="76" t="s">
        <v>697</v>
      </c>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row>
    <row r="106" spans="1:1019" s="72" customFormat="1" x14ac:dyDescent="0.25">
      <c r="A106" s="441" t="s">
        <v>762</v>
      </c>
      <c r="H106" s="76" t="s">
        <v>698</v>
      </c>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row>
    <row r="107" spans="1:1019" s="72" customFormat="1" ht="14.45" customHeight="1" x14ac:dyDescent="0.25">
      <c r="A107" s="784" t="s">
        <v>763</v>
      </c>
      <c r="B107" s="784"/>
      <c r="C107" s="784"/>
      <c r="D107" s="784"/>
      <c r="E107" s="784"/>
      <c r="F107" s="784"/>
      <c r="H107" s="76" t="s">
        <v>699</v>
      </c>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row>
    <row r="108" spans="1:1019" s="72" customFormat="1" x14ac:dyDescent="0.25">
      <c r="A108" s="784"/>
      <c r="B108" s="784"/>
      <c r="C108" s="784"/>
      <c r="D108" s="784"/>
      <c r="E108" s="784"/>
      <c r="F108" s="784"/>
      <c r="H108" s="76" t="s">
        <v>700</v>
      </c>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row>
    <row r="109" spans="1:1019" s="72" customFormat="1" ht="14.45" customHeight="1" x14ac:dyDescent="0.25">
      <c r="A109" s="784"/>
      <c r="B109" s="784"/>
      <c r="C109" s="784"/>
      <c r="D109" s="784"/>
      <c r="E109" s="784"/>
      <c r="F109" s="784"/>
      <c r="H109" s="76" t="s">
        <v>701</v>
      </c>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row>
    <row r="110" spans="1:1019" s="72" customFormat="1" x14ac:dyDescent="0.25">
      <c r="A110" s="784"/>
      <c r="B110" s="784"/>
      <c r="C110" s="784"/>
      <c r="D110" s="784"/>
      <c r="E110" s="784"/>
      <c r="F110" s="784"/>
      <c r="H110" s="76" t="s">
        <v>702</v>
      </c>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row>
    <row r="111" spans="1:1019" s="72" customFormat="1" x14ac:dyDescent="0.25">
      <c r="A111" s="784"/>
      <c r="B111" s="784"/>
      <c r="C111" s="784"/>
      <c r="D111" s="784"/>
      <c r="E111" s="784"/>
      <c r="F111" s="784"/>
      <c r="H111" s="76" t="s">
        <v>703</v>
      </c>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row>
    <row r="112" spans="1:1019" s="72" customFormat="1" x14ac:dyDescent="0.25">
      <c r="A112" s="442"/>
      <c r="B112" s="442"/>
      <c r="C112" s="442"/>
      <c r="D112" s="442"/>
      <c r="E112" s="442"/>
      <c r="F112" s="442"/>
      <c r="H112" s="76" t="s">
        <v>704</v>
      </c>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row>
    <row r="113" spans="1:1019" s="72" customFormat="1" ht="14.45" customHeight="1" x14ac:dyDescent="0.25">
      <c r="A113" s="784" t="s">
        <v>764</v>
      </c>
      <c r="B113" s="784"/>
      <c r="C113" s="784"/>
      <c r="D113" s="784"/>
      <c r="E113" s="784"/>
      <c r="F113" s="784"/>
      <c r="H113" s="76" t="s">
        <v>705</v>
      </c>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row>
    <row r="114" spans="1:1019" s="72" customFormat="1" x14ac:dyDescent="0.25">
      <c r="A114" s="784"/>
      <c r="B114" s="784"/>
      <c r="C114" s="784"/>
      <c r="D114" s="784"/>
      <c r="E114" s="784"/>
      <c r="F114" s="78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row>
    <row r="115" spans="1:1019" s="72" customFormat="1" x14ac:dyDescent="0.25">
      <c r="A115" s="784"/>
      <c r="B115" s="784"/>
      <c r="C115" s="784"/>
      <c r="D115" s="784"/>
      <c r="E115" s="784"/>
      <c r="F115" s="784"/>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row>
    <row r="116" spans="1:1019" s="72" customFormat="1" x14ac:dyDescent="0.25">
      <c r="A116" s="784"/>
      <c r="B116" s="784"/>
      <c r="C116" s="784"/>
      <c r="D116" s="784"/>
      <c r="E116" s="784"/>
      <c r="F116" s="784"/>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row>
    <row r="117" spans="1:1019" s="72" customFormat="1" x14ac:dyDescent="0.25">
      <c r="A117" s="437"/>
      <c r="B117" s="437"/>
      <c r="C117" s="437"/>
      <c r="D117" s="437"/>
      <c r="E117" s="437"/>
      <c r="F117" s="43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row>
    <row r="118" spans="1:1019" s="72" customFormat="1" x14ac:dyDescent="0.25">
      <c r="A118" s="766" t="s">
        <v>752</v>
      </c>
      <c r="B118" s="766"/>
      <c r="C118" s="766"/>
      <c r="D118" s="766"/>
      <c r="E118" s="766"/>
      <c r="F118" s="766"/>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row>
    <row r="119" spans="1:1019" x14ac:dyDescent="0.25">
      <c r="A119" s="766"/>
      <c r="B119" s="766"/>
      <c r="C119" s="766"/>
      <c r="D119" s="766"/>
      <c r="E119" s="766"/>
      <c r="F119" s="766"/>
      <c r="G119" s="72"/>
      <c r="H119" s="72"/>
      <c r="I119" s="72"/>
      <c r="J119" s="72"/>
      <c r="K119" s="72"/>
      <c r="L119" s="72"/>
    </row>
  </sheetData>
  <sheetProtection algorithmName="SHA-512" hashValue="+yUBVBZz7q/4xz/oatN4a6xp1+tdUmjWlWlzozFqHhK5KxhUjAYPkd0WVzmzuiBzqP+Q5iuiHh6HxRdWYxId7w==" saltValue="X5zKNUKGqstshHX6T7C9fw==" spinCount="100000" sheet="1" formatCells="0" formatColumns="0" formatRows="0"/>
  <mergeCells count="16">
    <mergeCell ref="A118:F119"/>
    <mergeCell ref="I68:L69"/>
    <mergeCell ref="C28:C29"/>
    <mergeCell ref="H62:J62"/>
    <mergeCell ref="H63:K67"/>
    <mergeCell ref="A107:F111"/>
    <mergeCell ref="A113:F116"/>
    <mergeCell ref="A42:H44"/>
    <mergeCell ref="A4:I4"/>
    <mergeCell ref="I9:K10"/>
    <mergeCell ref="I40:K43"/>
    <mergeCell ref="A48:C48"/>
    <mergeCell ref="A28:A29"/>
    <mergeCell ref="B28:B29"/>
    <mergeCell ref="A25:H27"/>
    <mergeCell ref="A8:A9"/>
  </mergeCells>
  <pageMargins left="0.7" right="0.7" top="0.75" bottom="0.75" header="0.3" footer="0.3"/>
  <pageSetup paperSize="3" scale="80" orientation="landscape" r:id="rId1"/>
  <headerFooter>
    <oddHeader>&amp;RPage &amp;P</oddHeader>
    <oddFooter>&amp;CPage &amp;P of &amp;N</oddFooter>
  </headerFooter>
  <rowBreaks count="1" manualBreakCount="1">
    <brk id="4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44</vt:i4>
      </vt:variant>
    </vt:vector>
  </HeadingPairs>
  <TitlesOfParts>
    <vt:vector size="53" baseType="lpstr">
      <vt:lpstr>General</vt:lpstr>
      <vt:lpstr>Input Instructions</vt:lpstr>
      <vt:lpstr>Detailed Notes and Explanations</vt:lpstr>
      <vt:lpstr>Input Summary</vt:lpstr>
      <vt:lpstr>Input Template</vt:lpstr>
      <vt:lpstr>Grid Electricity</vt:lpstr>
      <vt:lpstr>User Defined Factors</vt:lpstr>
      <vt:lpstr>Well Material Calculator</vt:lpstr>
      <vt:lpstr>Lookup</vt:lpstr>
      <vt:lpstr>Acid</vt:lpstr>
      <vt:lpstr>Diesel_Off</vt:lpstr>
      <vt:lpstr>equipment</vt:lpstr>
      <vt:lpstr>fuel_eu</vt:lpstr>
      <vt:lpstr>fuel_mt</vt:lpstr>
      <vt:lpstr>GAC_coco</vt:lpstr>
      <vt:lpstr>GAC_V</vt:lpstr>
      <vt:lpstr>Gas_Off</vt:lpstr>
      <vt:lpstr>GHG_Emis</vt:lpstr>
      <vt:lpstr>GHG_Seq</vt:lpstr>
      <vt:lpstr>H2O2</vt:lpstr>
      <vt:lpstr>HAP_Emis</vt:lpstr>
      <vt:lpstr>HDPE</vt:lpstr>
      <vt:lpstr>KMnO4</vt:lpstr>
      <vt:lpstr>level</vt:lpstr>
      <vt:lpstr>Lime</vt:lpstr>
      <vt:lpstr>material</vt:lpstr>
      <vt:lpstr>mode</vt:lpstr>
      <vt:lpstr>modem</vt:lpstr>
      <vt:lpstr>Molasses</vt:lpstr>
      <vt:lpstr>N_Fert</vt:lpstr>
      <vt:lpstr>offsiteB20</vt:lpstr>
      <vt:lpstr>offsiteE85</vt:lpstr>
      <vt:lpstr>onsiteB20</vt:lpstr>
      <vt:lpstr>onsiteE85</vt:lpstr>
      <vt:lpstr>Other1</vt:lpstr>
      <vt:lpstr>Other2</vt:lpstr>
      <vt:lpstr>Other3</vt:lpstr>
      <vt:lpstr>P_Fert</vt:lpstr>
      <vt:lpstr>Polymer</vt:lpstr>
      <vt:lpstr>potwatertrans</vt:lpstr>
      <vt:lpstr>General!Print_Area</vt:lpstr>
      <vt:lpstr>'Input Summary'!Print_Area</vt:lpstr>
      <vt:lpstr>'Input Template'!Print_Area</vt:lpstr>
      <vt:lpstr>Lookup!Print_Area</vt:lpstr>
      <vt:lpstr>'User Defined Factors'!Print_Area</vt:lpstr>
      <vt:lpstr>'Well Material Calculator'!Print_Area</vt:lpstr>
      <vt:lpstr>'Input Summary'!Print_Titles</vt:lpstr>
      <vt:lpstr>'Input Template'!Print_Titles</vt:lpstr>
      <vt:lpstr>PV</vt:lpstr>
      <vt:lpstr>PVC</vt:lpstr>
      <vt:lpstr>Sand</vt:lpstr>
      <vt:lpstr>Seed</vt:lpstr>
      <vt:lpstr>waste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2019-11-27T10:12:55Z</dcterms:modified>
</cp:coreProperties>
</file>