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RBenware\Desktop\"/>
    </mc:Choice>
  </mc:AlternateContent>
  <workbookProtection workbookAlgorithmName="SHA-512" workbookHashValue="hE6Mw7Jme5V+1vklPnFC3g27Ir4A/hX2zMfAPnm2jpq9KrlG8VVXkjZmXWZZUHjKA90d6ci6ykLljsN500G+PQ==" workbookSaltValue="3bAppjhY2zsWbCJqgu8nQg==" workbookSpinCount="100000" lockStructure="1"/>
  <bookViews>
    <workbookView xWindow="0" yWindow="0" windowWidth="12288" windowHeight="4788" tabRatio="819"/>
  </bookViews>
  <sheets>
    <sheet name="Instructions" sheetId="25" r:id="rId1"/>
    <sheet name="Definitions" sheetId="22" r:id="rId2"/>
    <sheet name="1) General Information" sheetId="23" r:id="rId3"/>
    <sheet name="2) Response Component Inputs" sheetId="2" r:id="rId4"/>
    <sheet name="3) Open Pit Criteria" sheetId="6" r:id="rId5"/>
    <sheet name="4) Underground Mine Criteria" sheetId="7" r:id="rId6"/>
    <sheet name="5) Waste Rock Criteria" sheetId="8" r:id="rId7"/>
    <sheet name="6) Heap_Dump Leach Criteria" sheetId="9" r:id="rId8"/>
    <sheet name="7) Tailings Criteria" sheetId="10" r:id="rId9"/>
    <sheet name="8) Process Pond_Res. Criteria" sheetId="11" r:id="rId10"/>
    <sheet name="9) Slag Pile Criteria" sheetId="12" r:id="rId11"/>
    <sheet name="10) Waste Disposal Criteria" sheetId="13" r:id="rId12"/>
    <sheet name="11) Drainage Criteria" sheetId="15" r:id="rId13"/>
    <sheet name="12) Short-Term O&amp;M Criteria" sheetId="16" r:id="rId14"/>
    <sheet name="13) Interim O&amp;M Criteria" sheetId="18" r:id="rId15"/>
    <sheet name="14) Long-Term O&amp;M Criteria" sheetId="17" r:id="rId16"/>
    <sheet name="15) Water Treatment Criteria" sheetId="19" r:id="rId17"/>
    <sheet name="Detailed Response Component" sheetId="5" r:id="rId18"/>
    <sheet name="Summary" sheetId="21" r:id="rId19"/>
    <sheet name="Equations" sheetId="3" state="hidden" r:id="rId20"/>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5" l="1"/>
  <c r="F9" i="5"/>
  <c r="D16" i="5" l="1"/>
  <c r="D18" i="5"/>
  <c r="D15" i="5"/>
  <c r="F27" i="5" l="1"/>
  <c r="I6" i="19" l="1"/>
  <c r="I5" i="19"/>
  <c r="I7" i="19" s="1"/>
  <c r="I6" i="17"/>
  <c r="I7" i="17"/>
  <c r="I5" i="17"/>
  <c r="I6" i="18"/>
  <c r="I5" i="18"/>
  <c r="I6" i="16"/>
  <c r="I7" i="16"/>
  <c r="I5" i="16"/>
  <c r="I5" i="15"/>
  <c r="I6" i="15" s="1"/>
  <c r="I6" i="13"/>
  <c r="I7" i="13"/>
  <c r="I5" i="13"/>
  <c r="I6" i="12"/>
  <c r="I7" i="12"/>
  <c r="I8" i="12"/>
  <c r="I9" i="12"/>
  <c r="I10" i="12"/>
  <c r="I11" i="12"/>
  <c r="I12" i="12"/>
  <c r="I5" i="12"/>
  <c r="I13" i="12" s="1"/>
  <c r="I6" i="11"/>
  <c r="I7" i="11"/>
  <c r="I8" i="11"/>
  <c r="I5" i="11"/>
  <c r="I6" i="10"/>
  <c r="I7" i="10"/>
  <c r="I8" i="10"/>
  <c r="I9" i="10"/>
  <c r="I10" i="10"/>
  <c r="I11" i="10"/>
  <c r="I12" i="10"/>
  <c r="I13" i="10"/>
  <c r="I14" i="10"/>
  <c r="I5" i="10"/>
  <c r="I6" i="9"/>
  <c r="I7" i="9"/>
  <c r="I8" i="9"/>
  <c r="I9" i="9"/>
  <c r="I10" i="9"/>
  <c r="I11" i="9"/>
  <c r="I12" i="9"/>
  <c r="I5" i="9"/>
  <c r="I6" i="8"/>
  <c r="I7" i="8"/>
  <c r="I8" i="8"/>
  <c r="I9" i="8"/>
  <c r="I10" i="8"/>
  <c r="I11" i="8"/>
  <c r="I12" i="8"/>
  <c r="I5" i="8"/>
  <c r="S10" i="7"/>
  <c r="S9" i="7"/>
  <c r="S8" i="7"/>
  <c r="S7" i="7"/>
  <c r="S6" i="7"/>
  <c r="S5" i="7"/>
  <c r="N10" i="7"/>
  <c r="N9" i="7"/>
  <c r="N8" i="7"/>
  <c r="N7" i="7"/>
  <c r="N6" i="7"/>
  <c r="N5" i="7"/>
  <c r="I6" i="7"/>
  <c r="I7" i="7"/>
  <c r="I8" i="7"/>
  <c r="I9" i="7"/>
  <c r="I10" i="7"/>
  <c r="I5" i="7"/>
  <c r="I13" i="9" l="1"/>
  <c r="I8" i="17"/>
  <c r="I9" i="11"/>
  <c r="I15" i="10"/>
  <c r="I7" i="18"/>
  <c r="I8" i="16"/>
  <c r="I8" i="13"/>
  <c r="I11" i="7"/>
  <c r="E7" i="5" s="1"/>
  <c r="F7" i="5" s="1"/>
  <c r="I6" i="6"/>
  <c r="I7" i="6"/>
  <c r="I8" i="6"/>
  <c r="I9" i="6"/>
  <c r="I5" i="6"/>
  <c r="E16" i="2"/>
  <c r="E15" i="2"/>
  <c r="D12" i="5" l="1"/>
  <c r="E8" i="21" l="1"/>
  <c r="F28" i="5" l="1"/>
  <c r="E7" i="21"/>
  <c r="E24" i="5" l="1"/>
  <c r="E23" i="5" s="1"/>
  <c r="E20" i="5"/>
  <c r="E19" i="5" s="1"/>
  <c r="E15" i="5"/>
  <c r="E14" i="5" l="1"/>
  <c r="S11" i="7"/>
  <c r="E9" i="5" s="1"/>
  <c r="I13" i="8"/>
  <c r="E10" i="5" s="1"/>
  <c r="E13" i="5"/>
  <c r="E11" i="5"/>
  <c r="E12" i="5"/>
  <c r="E22" i="5"/>
  <c r="E21" i="5" s="1"/>
  <c r="N11" i="7"/>
  <c r="E8" i="5" s="1"/>
  <c r="E6" i="5" s="1"/>
  <c r="E16" i="5"/>
  <c r="F16" i="5" s="1"/>
  <c r="E18" i="5"/>
  <c r="E17" i="5" s="1"/>
  <c r="I10" i="6" l="1"/>
  <c r="E5" i="5" s="1"/>
  <c r="E23" i="2"/>
  <c r="E24" i="2" s="1"/>
  <c r="D24" i="5" s="1"/>
  <c r="D20" i="5"/>
  <c r="D14" i="5"/>
  <c r="F14" i="5" s="1"/>
  <c r="D13" i="5"/>
  <c r="F13" i="5" s="1"/>
  <c r="F12" i="5"/>
  <c r="D11" i="5"/>
  <c r="F11" i="5" s="1"/>
  <c r="D10" i="5"/>
  <c r="F10" i="5" s="1"/>
  <c r="D8" i="5"/>
  <c r="D9" i="5"/>
  <c r="D7" i="5"/>
  <c r="D5" i="5"/>
  <c r="F5" i="5" l="1"/>
  <c r="D17" i="5"/>
  <c r="D22" i="5"/>
  <c r="D21" i="5" s="1"/>
  <c r="D6" i="5"/>
  <c r="F18" i="5" l="1"/>
  <c r="F17" i="5" s="1"/>
  <c r="F6" i="5"/>
  <c r="F24" i="5"/>
  <c r="F23" i="5" s="1"/>
  <c r="F15" i="5"/>
  <c r="F22" i="5"/>
  <c r="F21" i="5" s="1"/>
  <c r="D19" i="5"/>
  <c r="D23" i="5" l="1"/>
  <c r="D25" i="5" s="1"/>
  <c r="F20" i="5"/>
  <c r="F19" i="5" s="1"/>
  <c r="F25" i="5" s="1"/>
  <c r="F29" i="5" l="1"/>
  <c r="E5" i="21" s="1"/>
  <c r="E6" i="21" s="1"/>
  <c r="E9" i="21" s="1"/>
  <c r="E25" i="5"/>
</calcChain>
</file>

<file path=xl/sharedStrings.xml><?xml version="1.0" encoding="utf-8"?>
<sst xmlns="http://schemas.openxmlformats.org/spreadsheetml/2006/main" count="540" uniqueCount="426">
  <si>
    <t>1)</t>
  </si>
  <si>
    <t>2)</t>
  </si>
  <si>
    <t>3)</t>
  </si>
  <si>
    <t>4)</t>
  </si>
  <si>
    <t>5)</t>
  </si>
  <si>
    <t>6)</t>
  </si>
  <si>
    <t>7)</t>
  </si>
  <si>
    <t>8)</t>
  </si>
  <si>
    <t>9)</t>
  </si>
  <si>
    <t>Example</t>
  </si>
  <si>
    <t>Category</t>
  </si>
  <si>
    <t>Solid and Hazardous Waste Disposal</t>
  </si>
  <si>
    <t>Intercept</t>
  </si>
  <si>
    <t>Open Pit</t>
  </si>
  <si>
    <t>Underground Mine</t>
  </si>
  <si>
    <t>Fixed Cost 1</t>
  </si>
  <si>
    <t>Fixed Cost 2</t>
  </si>
  <si>
    <t>Smear</t>
  </si>
  <si>
    <t>Waste Rock</t>
  </si>
  <si>
    <t>SC/Treat</t>
  </si>
  <si>
    <t>Acre/Flow1</t>
  </si>
  <si>
    <t>Acre/Flow2</t>
  </si>
  <si>
    <t>NetPrecip/ISL</t>
  </si>
  <si>
    <t>Heap/Dump Leach</t>
  </si>
  <si>
    <t>Tailings Facility</t>
  </si>
  <si>
    <t>Process Pond/Reservoir</t>
  </si>
  <si>
    <t>Slag Pile</t>
  </si>
  <si>
    <t>Interim O&amp;M</t>
  </si>
  <si>
    <t>Water Treatment</t>
  </si>
  <si>
    <t>Short-Term O&amp;M/Monitoring</t>
  </si>
  <si>
    <t>Long-Term O&amp;M/Monitoring</t>
  </si>
  <si>
    <t>Drainage</t>
  </si>
  <si>
    <t>RESPONSE COMPONENT</t>
  </si>
  <si>
    <t>Natural Resource Damage COMPONENT</t>
  </si>
  <si>
    <t>Health Assessment COMPONENT</t>
  </si>
  <si>
    <t>NRD Multiplier</t>
  </si>
  <si>
    <t>State</t>
  </si>
  <si>
    <t>Adjustment Factor</t>
  </si>
  <si>
    <t>AK</t>
  </si>
  <si>
    <t>AL</t>
  </si>
  <si>
    <t>AR</t>
  </si>
  <si>
    <t>AZ</t>
  </si>
  <si>
    <t>CA</t>
  </si>
  <si>
    <t>CO</t>
  </si>
  <si>
    <t>CT</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</si>
  <si>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</si>
  <si>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</si>
  <si>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</si>
  <si>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</si>
  <si>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</si>
  <si>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</si>
  <si>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</si>
  <si>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</si>
  <si>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</si>
  <si>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</si>
  <si>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</si>
  <si>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</si>
  <si>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</si>
  <si>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</si>
  <si>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</si>
  <si>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</si>
  <si>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</si>
  <si>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</si>
  <si>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</si>
  <si>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</si>
  <si>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</si>
  <si>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</si>
  <si>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</si>
  <si>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</si>
  <si>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</si>
  <si>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</si>
  <si>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</si>
  <si>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</si>
  <si>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</si>
  <si>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</si>
  <si>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</si>
  <si>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</si>
  <si>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</si>
  <si>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</si>
  <si>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</si>
  <si>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</si>
  <si>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</si>
  <si>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</si>
  <si>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</si>
  <si>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</si>
  <si>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</si>
  <si>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</si>
  <si>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</si>
  <si>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Overhead and Oversight Cost Percentage</t>
  </si>
  <si>
    <t>Fixed Multiple</t>
  </si>
  <si>
    <t>Health Assessment Amount</t>
  </si>
  <si>
    <t>Yes</t>
  </si>
  <si>
    <t>Select</t>
  </si>
  <si>
    <t>No</t>
  </si>
  <si>
    <t>Precipitation</t>
  </si>
  <si>
    <t>Inches/year</t>
  </si>
  <si>
    <t>Impoundment</t>
  </si>
  <si>
    <t>Paste/Dry Stack</t>
  </si>
  <si>
    <t>Underground Mine #1</t>
  </si>
  <si>
    <t>Underground Mine #2</t>
  </si>
  <si>
    <t>Underground Mine #3</t>
  </si>
  <si>
    <t>U.S. EPA Region</t>
  </si>
  <si>
    <t>Region 1</t>
  </si>
  <si>
    <t>Region 2</t>
  </si>
  <si>
    <t>Region 3</t>
  </si>
  <si>
    <t>Region 4</t>
  </si>
  <si>
    <t>Region 5</t>
  </si>
  <si>
    <t>Region 6</t>
  </si>
  <si>
    <t>Region 7</t>
  </si>
  <si>
    <t>Region 8</t>
  </si>
  <si>
    <t>Region 9</t>
  </si>
  <si>
    <t>Region 10</t>
  </si>
  <si>
    <t>This facility has a plan to address public safety by prevention of public access by means of security fencing and/or berms.</t>
  </si>
  <si>
    <t xml:space="preserve">Where ponding will occur, this facility has a plan to regrade the bottom surface during closure to a stable configuration that prevents ponding and promotes the conveyance of surface water off the unit, and that requires closure of all open pits where public access is not restricted, and that are considered to be critical structures to be designed for a long-term static factor of safety of 1.5 or greater and all non-critical structures to be designed for a long-term static factor of safety of 1.3 or greater; and requires that the units being closed be designed for a factor of safety of 1.1 or greater under pseudostatic analysis. </t>
  </si>
  <si>
    <t>This facility has a plan that provides for a stability analysis to be conducted for the unit and includes evaluation for static and seismic induced liquefaction.</t>
  </si>
  <si>
    <t>This facility has a requirement to implement and maintain a plan for the management of all stormwater and sediment generated during reclamation and following closure. The plan must include permanent stormwater conveyances, ditches, channels, and diversions, as necessary, designed to convey the peak flow and ponds and other collection devices, and must provide for controls designed to store the volume generated during a 24-hour period by a 200-year return interval storm event.</t>
  </si>
  <si>
    <t xml:space="preserve">Where pit lake will form, or where meteoric water will percolate through the pit rock into groundwater below, and pit lake or any discharges will not meet water quality standards, this facility has a plan for the minimization, prevention, or collection and treatment of pit lakes, discharges, and/or seepage, based on site hydrology, water quality characterization information, and pit lake ecological risk assessment information.  The plan must address and must provide for capture and treatment at closure consisting of a capture and treatment system that meets a minimum 200-yr life design criteria, and that is designed to either prevent pit lake formation or groundwater contamination exceeding applicable water quality standards to achieve at least a 95 percent capture efficiency of the affected groundwater, and to meet applicable water quality standards. </t>
  </si>
  <si>
    <t>N/A</t>
  </si>
  <si>
    <t>Formula Amount</t>
  </si>
  <si>
    <t>Initial Amount</t>
  </si>
  <si>
    <t>Gallons/Minute</t>
  </si>
  <si>
    <t>Total Flows</t>
  </si>
  <si>
    <t>Total Acres</t>
  </si>
  <si>
    <t>Tailings Impoundment Acres Total</t>
  </si>
  <si>
    <t>Interim O&amp;M Annual</t>
  </si>
  <si>
    <t>Superfund Rate of Return</t>
  </si>
  <si>
    <t>Water Treatment Annual</t>
  </si>
  <si>
    <t>Short-Term O&amp;M/Monitoring Annual</t>
  </si>
  <si>
    <t>Long-Term O&amp;M/Monitoring Annual</t>
  </si>
  <si>
    <t>Result</t>
  </si>
  <si>
    <t>Open Pit Performance Criteria</t>
  </si>
  <si>
    <t>Underground Mine Performance Criteria</t>
  </si>
  <si>
    <t>This facility has a plan for the minimization, prevention or collection and treatment of discharges and or seepage based on site hydrology and water quality characterization information that provides for necessary additional source controls and/or capture and treatment at closure, all of which meet a minimum 200-year life design criteria.</t>
  </si>
  <si>
    <t>This facility has requirements for installation of a bulkhead or other device to restrict unwanted access.</t>
  </si>
  <si>
    <t>The facility has a plan to maintain a pressurized plug as a permanent feature.</t>
  </si>
  <si>
    <t>The facility has a plan for a capture and treatment system designed to achieve at least a 95 percent capture efficiency and to meet applicable water quality standards</t>
  </si>
  <si>
    <t>Waste Rock Performance Criteria</t>
  </si>
  <si>
    <t>This facility has a plan that demonstrates geochemically active materials will effectively be avoided, and that includes provisions for sampling and monitoring documentation.</t>
  </si>
  <si>
    <t>This facility has a management plan that demonstrates geochemically active materials will effectively be avoided, and that includes provisions for sampling and monitoring documentation.</t>
  </si>
  <si>
    <t>This facility has a plan to address public safety by prevention of public access by means of security fencing, or other effective methods.</t>
  </si>
  <si>
    <t>This facility has a plan that provides for concurrent or sequential reclamation of mined areas as they become available prior to final cessation of operations and closure.</t>
  </si>
  <si>
    <t>This facility has a plan to regrade surface during closure to a stable configuration that prevents ponding and promotes the conveyance of surface water off the unit, and that requires closure of all waste rock piles considered to be critical structures to be designed for a long-term static factor of safety of 1.5 or greater and all non-critical structures to be designed for a long-term static factor of safety of 1.3 or greater; and requires that the units being closed be designed for a factor of safety of 1.1 or greater under pseudostatic analysis.</t>
  </si>
  <si>
    <t>This facility has a plan to provide for a stability analysis to be conducted for the unit as part of the original design, and as part of mine modifications during the active life of the mine.</t>
  </si>
  <si>
    <t>This facility has a plan for the management of all stormwater and sediment generated during operations and during and following closure including permanent stormwater conveyances, ditches, channels, and diversions, as necessary, designed to convey the peak flow and ponds and other collection devices.designed to store the volume generated during a 24-hour period by a 100-year (existing units) or 200-year (new units) return interval storm event.</t>
  </si>
  <si>
    <t>This facility has a plan for the minimization, prevention, or collection and treatment of discharges and/or seepage, based on site hydrology and water quality characterization information, that provides for a cover system of, at a minimum, a store and release earthen cover system with a thickness of at least 12 inches and, if necessary, additional source controls or capture and treatment at closure, all of which meet a minimum 200-yr life design criteria.</t>
  </si>
  <si>
    <t>This facility has a plan for implementation of a containment system that immobilizes hazardous substances to meet applicable water quality standards (e.g., an engineered cover system designed to achieve, at  a minimum, a 95 percent reduction in annual net-percolation based on the long-term average to reduce seepage discharges to meet applicable water quality standards; or a capture and treatment system designed to achieve at least a 95 percent capture efficiency and meet applicable water quality standards; or combination of an engineered cover system and a capture and treatment system to achieve at least a 95 percent reduction in discharged load and meet applicable water quality standards at the point of compliance; or a solution containment system to assure seepage flows are collected, contained, conveyed, and treated to achieve at least a 95 percent reduction to meet applicable water quality standards.</t>
  </si>
  <si>
    <t>Heap/Dump Leach Performance Criteria</t>
  </si>
  <si>
    <t xml:space="preserve">This facility has a plan to regrade surface during closure to a stable configuration that prevents ponding and promotes the conveyance of surface water off the unit, and that requires closure of all heap leach and dump leach piles considered to be critical structures to be designed for a long-term static factor of safety of 1.5 or greater and all non-critical structures to be designed for a long-term static factor of safety of 1.3 or greater; and requires that the units being closed be designed for a factor of safety of 1.1 or greater under pseudostatic analysis. </t>
  </si>
  <si>
    <t>This facility has a plan for a stability analysis to be conducted for the unit and include evaluation for static and seismic induced liquefaction.</t>
  </si>
  <si>
    <t xml:space="preserve">This facility has a plan for the minimization, prevention, or collection and treatment of discharges and/or seepage, based on site hydrology and water quality characterization information, that provides for a cover system of, at a minimum, a store and release earthen cover system with a thickness of at least 12 inches and, if necessary, additional source controls or capture and treatment at closure, all of which meet a minimum 200-yr life design criteria. </t>
  </si>
  <si>
    <t>This facility has a plan for a liner designed to minimize/eliminate releases from the unit based on site specific conditions.</t>
  </si>
  <si>
    <t>The facility has a plan that demonstrates geochemically active materials will effectively be avoided, and that includes provisions for sampling and monitoring documentation.</t>
  </si>
  <si>
    <t>Tailings Performance Criteria</t>
  </si>
  <si>
    <t>This facility has a plan to develop and implement a Tailings Operations, Maintenance and Surveillance (TOMS) manual, or similar plan, that defines and describes roles and responsibilities of personnel assigned to the facility; procedures and processes for managing change; the key components of the facility; procedures required to operate, monitor the performance of, and maintain a facility to ensure that it functions in accordance with its design, meets regulatory and corporate policy obligations, and links to emergency planning and response; downstream notification; and, requirements for analysis and documentation of the performance of the facility.</t>
  </si>
  <si>
    <t>This facility has a plan for annual tailings inspection reports by a qualified engineer, and an inspection report by an independent qualified engineer at least every five years.</t>
  </si>
  <si>
    <t>Process Pond/Reservoir Performance Criteria</t>
  </si>
  <si>
    <t xml:space="preserve">This facility has a plan for the design and operation of such ponds and reservoirs to ensure they have adequate freeboard and are designed to prevent discharges of hazardous substances.  </t>
  </si>
  <si>
    <t>This facility has a liner and collection system designed to minimize/eliminate releases from the unit based on site specific conditions.</t>
  </si>
  <si>
    <t>This facility has a plan that sludge and the sub-base below the liner be sampled and addressed in a manner that is protective of human health and the environment as part of closure.</t>
  </si>
  <si>
    <t>Slag Pile Performance Criteria</t>
  </si>
  <si>
    <t xml:space="preserve">This facility has a plan that demonstrates geochemically active materials will effectively be avoided, and that includes provisions for sampling and monitoring documentation. </t>
  </si>
  <si>
    <t>This facility has a plan for concurrent or sequential reclamation of mined areas as they become available prior to final cessation of operations and closure.</t>
  </si>
  <si>
    <t xml:space="preserve">This facility has a plan to provide for a stability analysis to be conducted for the unit as part of the original design, and as part of mine modifications during the active life of the mine. </t>
  </si>
  <si>
    <t xml:space="preserve">This facility has a plan for disposal of all solid and hazardous wastes in a manner that is protective of human health and the environment and that is compliance with all applicable federal, state, and local requirements. </t>
  </si>
  <si>
    <t>This facility has a plan for contaminated soil disposal in a manner that is protective of human health and the environment and that is in compliance with all applicable federal, state, and local requirements.</t>
  </si>
  <si>
    <t>This facility has a plan to decontaminate buildings and structures to remove and safely dispose of hazardous substances.</t>
  </si>
  <si>
    <t>Drainage Performance Criteria</t>
  </si>
  <si>
    <t>This facility has a plan to address seasonal process water fluctuations and water balance based on a 200-year wet year event.</t>
  </si>
  <si>
    <t>Short-Term O&amp;M/Monitoring Performance Criteria</t>
  </si>
  <si>
    <t xml:space="preserve">This facility has a plan, currently in effect, for groundwater and surface water monitoring for of a minimum of five years to assure that monitoring wells are located to detect an exceedance(s) or trends towards exceedance(s) of the applicable standards, and are detected at the earliest possible occurrence, so that investigation of the extent of contamination and actions to address the source of contamination may be implemented as soon as possible. </t>
  </si>
  <si>
    <t>This facility has a plan for routine maintenance and repairs to roads, stormwater conveyances and collection devices and revegetation maintenance (e.g. weed controls) and repairs (e.g. areas of revegetation failure).</t>
  </si>
  <si>
    <t>Interim O&amp;M Performance Criteria</t>
  </si>
  <si>
    <t>Long-Term O&amp;M/Monitoring Performance Criteria</t>
  </si>
  <si>
    <t xml:space="preserve">This facility has a plan for the purpose of interim emergency water management to provide information on how process water systems, interceptor wells, seepage collection systems and storm water management systems are operated and maintained to prevent discharges in the event the regulator assumes management of the mine facility, including process water flow charts showing electrical system requirements, pump operations, seepage collection and interceptor well operations and applicable operation and maintenance requirements. </t>
  </si>
  <si>
    <t>This facility has a conceptual engineering document that describes the processes and methods that are expected to be used to reduce the quantities of process water in storage and circulation inventory at the end of mine production until all process solutions are eliminated and steady-state discharge is reached, in preparation for long-term water management or treatment, including: a description and list of the current or proposed process water management units and inventories of process water, a description of the modifications to the process water management system required to create an efficient process water reduction system, the operation and maintenance requirements for the system with material take-offs of sufficient detail to prepare an engineering-level cost estimate, and an estimate of the required water reduction period based on the water reduction calculations provided in the plan to be used for planning and operation and maintenance cost calculations.</t>
  </si>
  <si>
    <t xml:space="preserve">This facility has a plan, currently in effect, for groundwater and surface water monitoring for of a minimum of 200 years to assure that monitoring wells are located to detect an exceedance(s) or trends towards exceedance(s) of the applicable standards, and are detected at the earliest possible occurrence, so that investigation of the extent of contamination and actions to address the source of contamination may be implemented as soon as possible. </t>
  </si>
  <si>
    <t>This facility has a plan for inspection and monitoring of mass stability, erosion and revegetation certified by a professional engineer to ensure reclamation success.</t>
  </si>
  <si>
    <t>This facility has a plan for inspection and monitoring of erosion and revegetation to ensure reclamation success.</t>
  </si>
  <si>
    <t>This facility has a plan for routine maintenance and repairs to roads, stormwater conveyances and collection devices, cover systems, and revegetation maintenance (e.g. weed controls) and repairs (e.g. areas of revegetation failure) and monitoring wells.</t>
  </si>
  <si>
    <t>Water Treatment Performance Criteria</t>
  </si>
  <si>
    <t xml:space="preserve">This facility has a plan for closure water management and water treatment consisting of a conceptual engineering document that describes the processes and methods that are expected to be used for long-term management or treatment of seepage and includes an analysis of the expected operational life of each long-term water management or water treatment system, including collection/interceptor systems, until each system is no longer needed to protect water quality and applicable standards are met.  The plan must describe whether active or passive treatment is proposed and include all operations and maintenance activities required to support all collection and treatment systems. The plan must describe the long-term water management and water treatment systems with sufficient detail, including locations of key components, expected operational life, material take-offs, and capital, operational and maintenance costs to prepare an engineering-level cost estimate. The plan must be currently in effect and must cover a period of at least 200 years. </t>
  </si>
  <si>
    <t xml:space="preserve">This facility has a plan for disposal of wastes produced from water treatment that is protective of human health and the environment and meets applicable federal, state, and local requirements. </t>
  </si>
  <si>
    <t>(x) State Adjustment Factor</t>
  </si>
  <si>
    <t>(x) 1+ Overhead and Oversight Percentage</t>
  </si>
  <si>
    <t>Response Component Inputs</t>
  </si>
  <si>
    <t>Response Component (Total)</t>
  </si>
  <si>
    <t>Detailed Response Component</t>
  </si>
  <si>
    <t>Qualifies for Reduction?</t>
  </si>
  <si>
    <t>Response Component</t>
  </si>
  <si>
    <t>Natural Resource Damages Component</t>
  </si>
  <si>
    <t>Health Assessment Component</t>
  </si>
  <si>
    <t>Inflation Adjustment Factor</t>
  </si>
  <si>
    <t>2014 GDP Deflator</t>
  </si>
  <si>
    <t>Facility Name</t>
  </si>
  <si>
    <t>Contact Name</t>
  </si>
  <si>
    <t>EPA ID</t>
  </si>
  <si>
    <t>Date of Estimate</t>
  </si>
  <si>
    <t>Latitude, Longitude</t>
  </si>
  <si>
    <t>Facility Address (line 1)</t>
  </si>
  <si>
    <t>Facility Address (line 2)</t>
  </si>
  <si>
    <t>Summary Information</t>
  </si>
  <si>
    <t>Emergency Contact</t>
  </si>
  <si>
    <t>Emergency Phone #</t>
  </si>
  <si>
    <t>Contact Phone #</t>
  </si>
  <si>
    <t>Mailing Address (line 1)</t>
  </si>
  <si>
    <t>Mailing Address (line 2)</t>
  </si>
  <si>
    <t>Current GDP Deflator</t>
  </si>
  <si>
    <t>Solid and Hazardous Waste Disposal Performance Criteria</t>
  </si>
  <si>
    <r>
      <rPr>
        <b/>
        <u/>
        <sz val="12"/>
        <color theme="1"/>
        <rFont val="Arial"/>
        <family val="2"/>
      </rPr>
      <t>Slag Pile</t>
    </r>
    <r>
      <rPr>
        <sz val="12"/>
        <color theme="1"/>
        <rFont val="Arial"/>
        <family val="2"/>
      </rPr>
      <t xml:space="preserve"> means the storage location of glass-like particles generated when molten materials produced by a smelter are quenched.</t>
    </r>
  </si>
  <si>
    <r>
      <rPr>
        <b/>
        <u/>
        <sz val="12"/>
        <color theme="1"/>
        <rFont val="Arial"/>
        <family val="2"/>
      </rPr>
      <t>Surface impoundment</t>
    </r>
    <r>
      <rPr>
        <sz val="12"/>
        <color rgb="FF000000"/>
        <rFont val="Arial"/>
        <family val="2"/>
      </rPr>
      <t> or </t>
    </r>
    <r>
      <rPr>
        <b/>
        <u/>
        <sz val="12"/>
        <color rgb="FF000000"/>
        <rFont val="Arial"/>
        <family val="2"/>
      </rPr>
      <t>impoundment</t>
    </r>
    <r>
      <rPr>
        <sz val="12"/>
        <color rgb="FF000000"/>
        <rFont val="Arial"/>
        <family val="2"/>
      </rPr>
      <t> means a facility or part of a facility which is a natural topographic depression, man-made excavation, or diked area formed primarily of earthen materials (although it may be lined with man-made materials), which is designed to hold an accumulation of liquid wastes or wastes containing free liquids, and which is not an injection well. Examples of surface impoundments are holding, storage, settling, and aeration pits, ponds, and lagoons.</t>
    </r>
  </si>
  <si>
    <r>
      <rPr>
        <b/>
        <u/>
        <sz val="12"/>
        <color theme="1"/>
        <rFont val="Arial"/>
        <family val="2"/>
      </rPr>
      <t>Tailings</t>
    </r>
    <r>
      <rPr>
        <sz val="12"/>
        <color theme="1"/>
        <rFont val="Arial"/>
        <family val="2"/>
      </rPr>
      <t xml:space="preserve"> means the remaining waste material following the removal of valuable minerals from ore. </t>
    </r>
  </si>
  <si>
    <r>
      <rPr>
        <b/>
        <u/>
        <sz val="12"/>
        <color theme="1"/>
        <rFont val="Arial"/>
        <family val="2"/>
      </rPr>
      <t>Tailings Facility</t>
    </r>
    <r>
      <rPr>
        <sz val="12"/>
        <color theme="1"/>
        <rFont val="Arial"/>
        <family val="2"/>
      </rPr>
      <t xml:space="preserve"> means ponds, dams, and other facilities including spillways and associated features used for the deposition of process/beneficiation waste or tailings from either pulp or vat leaching, flotation, or gravity processing facilities. This also includes paste and dry stacks. </t>
    </r>
  </si>
  <si>
    <r>
      <rPr>
        <b/>
        <u/>
        <sz val="12"/>
        <color theme="1"/>
        <rFont val="Arial"/>
        <family val="2"/>
      </rPr>
      <t>Underground mine</t>
    </r>
    <r>
      <rPr>
        <sz val="12"/>
        <color theme="1"/>
        <rFont val="Arial"/>
        <family val="2"/>
      </rPr>
      <t xml:space="preserve"> means adits, portals, shafts, raises, drifts, and general workings (stopes, rooms or caving areas), vents and other features associated with underground extraction of ore. </t>
    </r>
  </si>
  <si>
    <r>
      <rPr>
        <b/>
        <u/>
        <sz val="12"/>
        <color theme="1"/>
        <rFont val="Arial"/>
        <family val="2"/>
      </rPr>
      <t>Dump Leach</t>
    </r>
    <r>
      <rPr>
        <sz val="12"/>
        <color theme="1"/>
        <rFont val="Arial"/>
        <family val="2"/>
      </rPr>
      <t xml:space="preserve"> means ore or mineralized material that has been stacked without a liner and has been leached, is currently being leached, or has been placed in a pile for the purpose of being leached.</t>
    </r>
  </si>
  <si>
    <r>
      <rPr>
        <b/>
        <u/>
        <sz val="12"/>
        <color theme="1"/>
        <rFont val="Arial"/>
        <family val="2"/>
      </rPr>
      <t>In-situ Leaching</t>
    </r>
    <r>
      <rPr>
        <sz val="12"/>
        <color theme="1"/>
        <rFont val="Arial"/>
        <family val="2"/>
      </rPr>
      <t xml:space="preserve"> means the removal of targeted materials by injection and extraction of an acidic or alkaline solvent solution.</t>
    </r>
  </si>
  <si>
    <r>
      <rPr>
        <b/>
        <u/>
        <sz val="12"/>
        <color theme="1"/>
        <rFont val="Arial"/>
        <family val="2"/>
      </rPr>
      <t>Pressurized hydraulic head</t>
    </r>
    <r>
      <rPr>
        <sz val="12"/>
        <color theme="1"/>
        <rFont val="Arial"/>
        <family val="2"/>
      </rPr>
      <t xml:space="preserve"> means a discharge from underground mine workings at greater than 100 kPa.</t>
    </r>
  </si>
  <si>
    <r>
      <rPr>
        <b/>
        <u/>
        <sz val="12"/>
        <color theme="1"/>
        <rFont val="Arial"/>
        <family val="2"/>
      </rPr>
      <t>Process Pond/Reservoir</t>
    </r>
    <r>
      <rPr>
        <sz val="12"/>
        <color theme="1"/>
        <rFont val="Arial"/>
        <family val="2"/>
      </rPr>
      <t xml:space="preserve"> means process ponds, reservoirs, impoundments, ditches, channels or other wet acreage that were used in heap leach, dump leach, metals or minerals processing and other activities that have resulted in deposits of sludge and other potentially toxic and/or hazardous materials within those features. </t>
    </r>
  </si>
  <si>
    <t>In-Situ Leaching</t>
  </si>
  <si>
    <t>Yes - with pressurized hydraulic head</t>
  </si>
  <si>
    <t>General Information</t>
  </si>
  <si>
    <t>FACILITY INFORMATION</t>
  </si>
  <si>
    <t>Total CERCLA 108(b) Financial Responsibility</t>
  </si>
  <si>
    <t>Disturbed Acres</t>
  </si>
  <si>
    <t>In-Situ Leaching Discharge</t>
  </si>
  <si>
    <t>Open Pit Criteria</t>
  </si>
  <si>
    <t>Underground Mine Criteria</t>
  </si>
  <si>
    <t>Waste Rock Criteria</t>
  </si>
  <si>
    <t>Heap_Dump Leach Criteria</t>
  </si>
  <si>
    <t>Tailings Criteria</t>
  </si>
  <si>
    <t>Process Pond_Res. Criteria</t>
  </si>
  <si>
    <t>Slag Pile Criteria</t>
  </si>
  <si>
    <t>10)</t>
  </si>
  <si>
    <t>11)</t>
  </si>
  <si>
    <t>12)</t>
  </si>
  <si>
    <t>13)</t>
  </si>
  <si>
    <t>14)</t>
  </si>
  <si>
    <t>Waste Disposal Criteria</t>
  </si>
  <si>
    <t>Drainage Criteria</t>
  </si>
  <si>
    <t>15)</t>
  </si>
  <si>
    <t>Short-Term O&amp;M Criteria</t>
  </si>
  <si>
    <t>Interim O&amp;M Criteria</t>
  </si>
  <si>
    <t>Long-Term O&amp;M Criteria</t>
  </si>
  <si>
    <t>Water Treatment Criteria</t>
  </si>
  <si>
    <t>Instructions</t>
  </si>
  <si>
    <t xml:space="preserve">General Information </t>
  </si>
  <si>
    <t xml:space="preserve">Response Component Inputs </t>
  </si>
  <si>
    <t>Evaluate each criteria of the waste rock performance standard</t>
  </si>
  <si>
    <t>Evaluate each criteria of the underground mine performance standard</t>
  </si>
  <si>
    <t>Evaluate each criteria of the open pit performance standard</t>
  </si>
  <si>
    <t>Evaluate each criteria of the heap/dump leach performance standard</t>
  </si>
  <si>
    <t>Evaluate each criteria of the tailings facility performance standard</t>
  </si>
  <si>
    <t>Evaluate each criteria of the process pond/reservoir performance standard</t>
  </si>
  <si>
    <t>Evaluate each criteria of the slag pile performance standard</t>
  </si>
  <si>
    <t>Evaluate each criteria of the solid and hazardous waste disposal performance standard</t>
  </si>
  <si>
    <t>Evaluate each criteria of the drainage performance standard</t>
  </si>
  <si>
    <t>Evaluate each criteria of the short-term O&amp;M/monitoring performance standard</t>
  </si>
  <si>
    <t>Evaluate each criteria of the long-term O&amp;M/monitoring performance standard</t>
  </si>
  <si>
    <t>Evaluate each criteria of the interim O&amp;M performance standard</t>
  </si>
  <si>
    <t>Evaluate each criteria of the water treatment performance standard</t>
  </si>
  <si>
    <t>Worksheet Tab</t>
  </si>
  <si>
    <t>Enter general information about the facility, owner, and operator</t>
  </si>
  <si>
    <t>User Action Required</t>
  </si>
  <si>
    <t>Cells with white fill and black borders indicate fields where the users input data.</t>
  </si>
  <si>
    <t>Italicized text indicates outputs that will calculate automatically.</t>
  </si>
  <si>
    <t>Enter site-specific formula inputs (e.g., precipitation)</t>
  </si>
  <si>
    <r>
      <rPr>
        <b/>
        <u/>
        <sz val="12"/>
        <color theme="1"/>
        <rFont val="Arial"/>
        <family val="2"/>
      </rPr>
      <t>Disturbed acreage/acres</t>
    </r>
    <r>
      <rPr>
        <sz val="12"/>
        <color theme="1"/>
        <rFont val="Arial"/>
        <family val="2"/>
      </rPr>
      <t xml:space="preserve"> means the area of land or surface water that has been altered for purposes of accommodating mining and/or processing activities. The term includes the area from which the overburden, tailings, waste materials, ore, or targeted minerals have been removed or placed, and areas where tailings ponds, waste dumps, roads, conveyor systems, load-out facilities, heap leach, dump leach, ponds and impoundments, slag and other mineral processing waste, and all similar excavations or placements that result from the operation are located.</t>
    </r>
  </si>
  <si>
    <r>
      <rPr>
        <b/>
        <u/>
        <sz val="12"/>
        <color theme="1"/>
        <rFont val="Arial"/>
        <family val="2"/>
      </rPr>
      <t>Heap Leach</t>
    </r>
    <r>
      <rPr>
        <sz val="12"/>
        <color theme="1"/>
        <rFont val="Arial"/>
        <family val="2"/>
      </rPr>
      <t xml:space="preserve"> means ore or mineralized material that has been stacked on a lined leach pad and has been leached, is currently being leached, or has been placed in a pile for the purpose of being leached. </t>
    </r>
  </si>
  <si>
    <r>
      <rPr>
        <b/>
        <u/>
        <sz val="12"/>
        <color theme="1"/>
        <rFont val="Arial"/>
        <family val="2"/>
      </rPr>
      <t>Heap/Dump Leach</t>
    </r>
    <r>
      <rPr>
        <sz val="12"/>
        <color theme="1"/>
        <rFont val="Arial"/>
        <family val="2"/>
      </rPr>
      <t xml:space="preserve"> means both heap and valley leach facilities, which are used for gold and sometimes copper processing, or run-of-mine copper leach dumps (or piles), that may have originally been intended for leaching, or originally were waste rock that was later leached in place.  </t>
    </r>
  </si>
  <si>
    <r>
      <rPr>
        <b/>
        <u/>
        <sz val="12"/>
        <color theme="1"/>
        <rFont val="Arial"/>
        <family val="2"/>
      </rPr>
      <t>Net Precipitation</t>
    </r>
    <r>
      <rPr>
        <sz val="12"/>
        <color theme="1"/>
        <rFont val="Arial"/>
        <family val="2"/>
      </rPr>
      <t xml:space="preserve"> means annual precipitation minus annual pan evaporation, or gross precipitation minus pan evaporation loss.  Net precipitation is in inches.  </t>
    </r>
  </si>
  <si>
    <r>
      <rPr>
        <b/>
        <u/>
        <sz val="12"/>
        <color theme="1"/>
        <rFont val="Arial"/>
        <family val="2"/>
      </rPr>
      <t>Open pit</t>
    </r>
    <r>
      <rPr>
        <sz val="12"/>
        <color theme="1"/>
        <rFont val="Arial"/>
        <family val="2"/>
      </rPr>
      <t xml:space="preserve"> means any open pits, cuts, or other surface features from which ore was extracted. It does not include borrow pits, sand boxes, or other surface features used for extracting soil, gravel, or sand for any purposes other than ore extraction. </t>
    </r>
  </si>
  <si>
    <r>
      <rPr>
        <b/>
        <u/>
        <sz val="12"/>
        <color theme="1"/>
        <rFont val="Arial"/>
        <family val="2"/>
      </rPr>
      <t>Waste rock</t>
    </r>
    <r>
      <rPr>
        <sz val="12"/>
        <color theme="1"/>
        <rFont val="Arial"/>
        <family val="2"/>
      </rPr>
      <t xml:space="preserve"> means waste rock and overburden piles, dumps, and other features associated with run-of-mine disposal of waste on the surface whether from open pit or underground mines. </t>
    </r>
  </si>
  <si>
    <t>Heap/Dump Leach Total Acres</t>
  </si>
  <si>
    <t>Tailings Facility Acres Total</t>
  </si>
  <si>
    <t>Underground Mine Discharges</t>
  </si>
  <si>
    <t>Process Pond/Reservoir Total Acres</t>
  </si>
  <si>
    <t>Open Pit Total Acres</t>
  </si>
  <si>
    <t>Waste Rock Total Acres</t>
  </si>
  <si>
    <t>Slag Pile Total Acres</t>
  </si>
  <si>
    <t>1-a</t>
  </si>
  <si>
    <t>1-b</t>
  </si>
  <si>
    <t>1-c</t>
  </si>
  <si>
    <t>1-d</t>
  </si>
  <si>
    <t>1-e</t>
  </si>
  <si>
    <t>1-f</t>
  </si>
  <si>
    <t>1-g</t>
  </si>
  <si>
    <t>1-j</t>
  </si>
  <si>
    <t>1-h</t>
  </si>
  <si>
    <t>1-i</t>
  </si>
  <si>
    <t>1-l</t>
  </si>
  <si>
    <t>1-m</t>
  </si>
  <si>
    <t>1-t</t>
  </si>
  <si>
    <t>2-a</t>
  </si>
  <si>
    <t>2-b</t>
  </si>
  <si>
    <t>2-c</t>
  </si>
  <si>
    <t>2-d</t>
  </si>
  <si>
    <t>2-e</t>
  </si>
  <si>
    <t>2-f</t>
  </si>
  <si>
    <t>2-g</t>
  </si>
  <si>
    <t>2-n</t>
  </si>
  <si>
    <t>2-o</t>
  </si>
  <si>
    <t>2-p</t>
  </si>
  <si>
    <t>2-q</t>
  </si>
  <si>
    <t>Field #</t>
  </si>
  <si>
    <t>SUBMITTING OWNER/OPERATOR INFORMATION</t>
  </si>
  <si>
    <t>Tailings Facility (Impoundment Only)</t>
  </si>
  <si>
    <t>Tailings Facility (Paste/Dry Stack Only)</t>
  </si>
  <si>
    <t>2-h</t>
  </si>
  <si>
    <t>2-i</t>
  </si>
  <si>
    <t>2-j</t>
  </si>
  <si>
    <t>2-k</t>
  </si>
  <si>
    <t>2-l</t>
  </si>
  <si>
    <t>2-m</t>
  </si>
  <si>
    <t>Evidence that the owner or operator is subject to the requirements described in §320.63(d)(1)</t>
  </si>
  <si>
    <t>Evidence that the owner’s or operator’s obligation to implement such requirements are imposed in an enforceable document as defined in §320.61</t>
  </si>
  <si>
    <t>3-a(i-iv)</t>
  </si>
  <si>
    <t>3-b(i-iv)</t>
  </si>
  <si>
    <t>3-c(i-iv)</t>
  </si>
  <si>
    <t>3-d(i-iv)</t>
  </si>
  <si>
    <t>3-e(i-iv)</t>
  </si>
  <si>
    <t>Evidence that the owner or operator is subject to the requirements described in §320.63(d)(2)</t>
  </si>
  <si>
    <t>Evidence that the owner or
operator has demonstrated, and is required to demonstrate, adequate financial responsibility to assure implementation of the required activities</t>
  </si>
  <si>
    <t>4-a(i-xii)</t>
  </si>
  <si>
    <t>4-b(i-xii)</t>
  </si>
  <si>
    <t>4-c(i-xii)</t>
  </si>
  <si>
    <t>4-d(i-xii)</t>
  </si>
  <si>
    <t>4-e(i-xii)</t>
  </si>
  <si>
    <t>4-f(i-xii)</t>
  </si>
  <si>
    <t>Reduction Criteria Met?</t>
  </si>
  <si>
    <t>5-a(i-iv)</t>
  </si>
  <si>
    <t>5-b(i-iv)</t>
  </si>
  <si>
    <t>5-c(i-iv)</t>
  </si>
  <si>
    <t>5-d(i-iv)</t>
  </si>
  <si>
    <t>5-e(i-iv)</t>
  </si>
  <si>
    <t>5-f(i-iv)</t>
  </si>
  <si>
    <t>5-g(i-iv)</t>
  </si>
  <si>
    <t>5-h(i-iv)</t>
  </si>
  <si>
    <t>Evidence that the owner or operator is subject to the requirements described in §320.63(d)(3)</t>
  </si>
  <si>
    <t>6-a(i-iv)</t>
  </si>
  <si>
    <t>6-b(i-iv)</t>
  </si>
  <si>
    <t>6-c(i-iv)</t>
  </si>
  <si>
    <t>6-d(i-iv)</t>
  </si>
  <si>
    <t>6-e(i-iv)</t>
  </si>
  <si>
    <t>6-f(i-iv)</t>
  </si>
  <si>
    <t>6-g(i-iv)</t>
  </si>
  <si>
    <t>6-h(i-iv)</t>
  </si>
  <si>
    <t>Evidence that the owner or operator is subject to the requirements described in §320.63(d)(4)</t>
  </si>
  <si>
    <t>7-a(i-iv)</t>
  </si>
  <si>
    <t>Evidence that the owner or operator is subject to the requirements described in §320.63(d)(5)</t>
  </si>
  <si>
    <t>7-b(i-iv)</t>
  </si>
  <si>
    <t>7-c(i-iv)</t>
  </si>
  <si>
    <t>7-d(i-iv)</t>
  </si>
  <si>
    <t>7-e(i-iv)</t>
  </si>
  <si>
    <t>7-f(i-iv)</t>
  </si>
  <si>
    <t>7-g(i-iv)</t>
  </si>
  <si>
    <t>7-h(i-iv)</t>
  </si>
  <si>
    <t>7-i(i-iv)</t>
  </si>
  <si>
    <t>7-j(i-iv)</t>
  </si>
  <si>
    <t>8-a(i-iv)</t>
  </si>
  <si>
    <t>8-b(i-iv)</t>
  </si>
  <si>
    <t>8-c(i-iv)</t>
  </si>
  <si>
    <t>8-d(i-iv)</t>
  </si>
  <si>
    <t>Evidence that the owner or operator is subject to the requirements described in §320.63(d)(6)</t>
  </si>
  <si>
    <t>9-a(i-iv)</t>
  </si>
  <si>
    <t>9-b(i-iv)</t>
  </si>
  <si>
    <t>9-c(i-iv)</t>
  </si>
  <si>
    <t>9-d(i-iv)</t>
  </si>
  <si>
    <t>9-e(i-iv)</t>
  </si>
  <si>
    <t>9-f(i-iv)</t>
  </si>
  <si>
    <t>9-g(i-iv)</t>
  </si>
  <si>
    <t>9-h(i-iv)</t>
  </si>
  <si>
    <t>Evidence that the owner or operator is subject to the requirements described in §320.63(d)(7)</t>
  </si>
  <si>
    <t>Evidence that the owner or operator is subject to the requirements described in §320.63(d)(8)</t>
  </si>
  <si>
    <t>10-a(i-iv)</t>
  </si>
  <si>
    <t>10-b(i-iv)</t>
  </si>
  <si>
    <t>10-c(i-iv)</t>
  </si>
  <si>
    <t>11-a(i-iv)</t>
  </si>
  <si>
    <t>Evidence that the owner or operator is subject to the requirements described in §320.63(d)(9)</t>
  </si>
  <si>
    <t>Evidence that the owner or operator is subject to the requirements described in §320.63(d)(10)</t>
  </si>
  <si>
    <t>13-a(i-iv)</t>
  </si>
  <si>
    <t>13-b(i-iv)</t>
  </si>
  <si>
    <t>Evidence that the owner or operator is subject to the requirements described in §320.63(d)(11)</t>
  </si>
  <si>
    <t>Certification by the owner or operator that the facility is incompliance with the requirements described in §320.63(d)(11)</t>
  </si>
  <si>
    <t>Evidence that the owner or operator is subject to the requirements described in §320.63(d)(12)</t>
  </si>
  <si>
    <t>14-a(i-iv)</t>
  </si>
  <si>
    <t>14-b(i-iv)</t>
  </si>
  <si>
    <t>14-c(i-iv)</t>
  </si>
  <si>
    <t>15-a(i-iv)</t>
  </si>
  <si>
    <t>15-b(i-iv)</t>
  </si>
  <si>
    <t>12-a(i-iv)</t>
  </si>
  <si>
    <t>12-b(i-iv)</t>
  </si>
  <si>
    <t>12-c(i-iv)</t>
  </si>
  <si>
    <t>Evidence that the owner or operator is subject to the requirements described in §320.63(d)(13)</t>
  </si>
  <si>
    <t>5-a(iii)</t>
  </si>
  <si>
    <t>User input cells are preceeded by field numbers which are presented as tab-row(column). For example, 5-a(iii) would indicate user input tab "5" (Waste Rock Criteria), user input row "a" (relating to public safety criteria), and user input column "iii" (relating to adequate financial assurance).</t>
  </si>
  <si>
    <t>Subtotal from Above</t>
  </si>
  <si>
    <t>1. Open Pit Category</t>
  </si>
  <si>
    <t>2. Underground Mine Category</t>
  </si>
  <si>
    <t>3. Waste Rock Category</t>
  </si>
  <si>
    <t>4. Heap/Dump Leach Category</t>
  </si>
  <si>
    <t>5. Tailings Facility Category</t>
  </si>
  <si>
    <t>6. Process Pond/Reservoir Category</t>
  </si>
  <si>
    <t>7. Slag Pile Category</t>
  </si>
  <si>
    <t>8. Drainage Category</t>
  </si>
  <si>
    <t>9. Solid and Hazardous Waste Disposal Category</t>
  </si>
  <si>
    <t>10. Short-Term O&amp;M/Monitoring Category</t>
  </si>
  <si>
    <t>11. Interim O&amp;M Category</t>
  </si>
  <si>
    <t>12. Long-Term O&amp;M/Monitoring Category</t>
  </si>
  <si>
    <t>13. Water Treatment Category</t>
  </si>
  <si>
    <t>Submitting/Owner/Operator</t>
  </si>
  <si>
    <t xml:space="preserve">Net Precipitation </t>
  </si>
  <si>
    <t>§320.62 Definitions</t>
  </si>
  <si>
    <t>Note: If cells display '#####' or cell text appears to be cut off, adjust the zoom on your personal Excel program, by going to View&gt;Zoom, and reduce zoom percentage.</t>
  </si>
  <si>
    <t>Welcome to the CERCLA 108(b) Financial Responsibility Calculator for hardrock mining facilities. This calculator is provided for use by interested persons seeking to calculate a financial responsibility amount as would be required under the proposed 40 CFR Part 320.63. The calculator is employed by completing the tabs numbered 1 through 15. Each tab requires the user to enter different information into white cell fields, as noted below. These inputs are used to automatically calculate a financial responsibility amount.</t>
  </si>
  <si>
    <r>
      <t xml:space="preserve">Upon completion of these tabs, the user can find a financial responsibility amount calculated in the "Summary" tab, with a more detailed breakout of the response component in the "Detailed Response Component" tab. For the user's convenience, relevant definitions from 40 CFR Part 320.62 have been duplicated in the "Definitions" tab of this worksheet. 
</t>
    </r>
    <r>
      <rPr>
        <b/>
        <sz val="12"/>
        <color theme="1"/>
        <rFont val="Arial"/>
        <family val="2"/>
      </rPr>
      <t>DISCLAIMER:</t>
    </r>
    <r>
      <rPr>
        <sz val="12"/>
        <color theme="1"/>
        <rFont val="Arial"/>
        <family val="2"/>
      </rPr>
      <t xml:space="preserve"> This calculator was developed solely for the convenience of users, to assist in calculating a financial responsibility amount under proposed 40 CFR Part 320.63. Use of this calculator is not required by, or necessary to satisfy the requirements of, proposed 40 CFR Part 320.63, and the components of this calculator are not proposed regulatory requirements. While EPA has made efforts to ensure consistency between the calculator and the proposed regulations, in the case of a conflict between this calculator and the proposed requirements, the requirements published in the Federal Register represent EPA’s intent for the proposed rule
</t>
    </r>
  </si>
  <si>
    <t>Certification by the owner or operator that the facility is in compliance with the requirements described in §320.63(d)(1)</t>
  </si>
  <si>
    <t>Certification by the owner or operator that the facility is in compliance with the requirements described in §320.63(d)(2)</t>
  </si>
  <si>
    <t>Certification by the owner or operator that the facility is in compliance with the requirements described in §320.63(d)(3)</t>
  </si>
  <si>
    <t>Certification by the owner or operator that the facility is in compliance with the requirements described in §320.63(d)(4)</t>
  </si>
  <si>
    <t>Certification by the owner or operator that the facility is in compliance with the requirements described in §320.63(d)(5)</t>
  </si>
  <si>
    <t>Certification by the owner or operator that the facility is in compliance with the requirements described in §320.63(d)(7)</t>
  </si>
  <si>
    <t>Certification by the owner or operator that the facility is in compliance with the requirements described in §320.63(d)(8)</t>
  </si>
  <si>
    <t>Certification by the owner or operator that the facility is in compliance with the requirements described in §320.63(d)(9)</t>
  </si>
  <si>
    <t>Certification by the owner or operator that the facility is in compliance with the requirements described in §320.63(d)(6)</t>
  </si>
  <si>
    <t>Certification by the owner or operator that the facility is in compliance with the requirements described in §320.63(d)(10)</t>
  </si>
  <si>
    <t>Certification by the owner or operator that the facility is in compliance with the requirements described in §320.63(d)(12)</t>
  </si>
  <si>
    <t>Certification by the owner or operator that the facility is in compliance with the requirements described in §320.63(d)(13)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</si>
</sst>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0"/>
    <numFmt numFmtId="165" formatCode="&quot;$&quot;#,##0"/>
    <numFmt numFmtId="166" formatCode="0.0%"/>
    <numFmt numFmtId="167" formatCode="#,##0.0"/>
    <numFmt numFmtId="168" formatCode="0.0"/>
    <numFmt numFmtId="169" formatCode="0.000"/>
    <numFmt numFmtId="170" formatCode="m/d/yyyy;@"/>
    <numFmt numFmtId="171" formatCode="[&lt;=9999999]###\-####;\(###\)\ ###\-####"/>
  </numFmts>
  <fonts count="21" x14ac:knownFonts="1">
    <font>
      <sz val="11"/>
      <color theme="1"/>
      <name val="Calibri"/>
      <family val="2"/>
      <scheme val="minor"/>
    </font>
    <font>
      <b/>
      <sz val="11"/>
      <color theme="1"/>
      <name val="Calibri"/>
      <family val="2"/>
      <scheme val="minor"/>
    </font>
    <font>
      <sz val="12"/>
      <color theme="1"/>
      <name val="Arial"/>
      <family val="2"/>
    </font>
    <font>
      <b/>
      <sz val="18"/>
      <color theme="1"/>
      <name val="Arial"/>
      <family val="2"/>
    </font>
    <font>
      <b/>
      <sz val="12"/>
      <color theme="1"/>
      <name val="Arial"/>
      <family val="2"/>
    </font>
    <font>
      <i/>
      <sz val="12"/>
      <color theme="1"/>
      <name val="Arial"/>
      <family val="2"/>
    </font>
    <font>
      <sz val="12"/>
      <color theme="1"/>
      <name val="Times New Roman"/>
      <family val="1"/>
    </font>
    <font>
      <b/>
      <i/>
      <sz val="12"/>
      <color theme="1"/>
      <name val="Times New Roman"/>
      <family val="1"/>
    </font>
    <font>
      <b/>
      <sz val="12"/>
      <color theme="1"/>
      <name val="Times New Roman"/>
      <family val="1"/>
    </font>
    <font>
      <sz val="12"/>
      <color rgb="FF000000"/>
      <name val="Times New Roman"/>
      <family val="1"/>
    </font>
    <font>
      <sz val="12"/>
      <color theme="0" tint="-0.14999847407452621"/>
      <name val="Times New Roman"/>
      <family val="1"/>
    </font>
    <font>
      <b/>
      <sz val="18"/>
      <color theme="1"/>
      <name val="Calibri"/>
      <family val="2"/>
      <scheme val="minor"/>
    </font>
    <font>
      <b/>
      <u/>
      <sz val="12"/>
      <color theme="1"/>
      <name val="Arial"/>
      <family val="2"/>
    </font>
    <font>
      <b/>
      <i/>
      <sz val="12"/>
      <color theme="1"/>
      <name val="Arial"/>
      <family val="2"/>
    </font>
    <font>
      <i/>
      <sz val="11"/>
      <color theme="1"/>
      <name val="Calibri"/>
      <family val="2"/>
      <scheme val="minor"/>
    </font>
    <font>
      <sz val="12"/>
      <color rgb="FF000000"/>
      <name val="Arial"/>
      <family val="2"/>
    </font>
    <font>
      <b/>
      <u/>
      <sz val="12"/>
      <color rgb="FF000000"/>
      <name val="Arial"/>
      <family val="2"/>
    </font>
    <font>
      <vertAlign val="subscript"/>
      <sz val="12"/>
      <color theme="1"/>
      <name val="Arial"/>
      <family val="2"/>
    </font>
    <font>
      <b/>
      <i/>
      <sz val="11"/>
      <color theme="1"/>
      <name val="Calibri"/>
      <family val="2"/>
      <scheme val="minor"/>
    </font>
    <font>
      <b/>
      <sz val="16"/>
      <color theme="1"/>
      <name val="Arial"/>
      <family val="2"/>
    </font>
    <font>
      <sz val="16"/>
      <color theme="1"/>
      <name val="Arial"/>
      <family val="2"/>
    </font>
  </fonts>
  <fills count="10">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BFBFBF"/>
        <bgColor indexed="64"/>
      </patternFill>
    </fill>
    <fill>
      <patternFill patternType="solid">
        <fgColor theme="0" tint="-0.14999847407452621"/>
        <bgColor indexed="64"/>
      </patternFill>
    </fill>
    <fill>
      <patternFill patternType="solid">
        <fgColor theme="2" tint="-9.9978637043366805E-2"/>
        <bgColor indexed="64"/>
      </patternFill>
    </fill>
  </fills>
  <borders count="4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thin">
        <color indexed="64"/>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234">
    <xf numFmtId="0" fontId="0" fillId="0" borderId="0" xfId="0"/>
    <xf numFmtId="0" fontId="2" fillId="2" borderId="0" xfId="0" applyFont="1" applyFill="1"/>
    <xf numFmtId="0" fontId="2" fillId="3" borderId="1"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0" xfId="0" applyFont="1" applyFill="1" applyBorder="1"/>
    <xf numFmtId="0" fontId="5" fillId="3" borderId="0"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6" fillId="0" borderId="0" xfId="0" applyFont="1" applyFill="1"/>
    <xf numFmtId="165" fontId="6" fillId="0" borderId="10" xfId="0" applyNumberFormat="1" applyFont="1" applyFill="1" applyBorder="1" applyProtection="1">
      <protection hidden="1"/>
    </xf>
    <xf numFmtId="0" fontId="6" fillId="0" borderId="10" xfId="0" applyFont="1" applyFill="1" applyBorder="1"/>
    <xf numFmtId="165" fontId="6" fillId="0" borderId="10" xfId="0" applyNumberFormat="1" applyFont="1" applyFill="1" applyBorder="1"/>
    <xf numFmtId="166" fontId="6" fillId="0" borderId="10" xfId="0" applyNumberFormat="1" applyFont="1" applyFill="1" applyBorder="1"/>
    <xf numFmtId="0" fontId="6" fillId="0" borderId="16" xfId="0" applyFont="1" applyBorder="1" applyAlignment="1">
      <alignment horizontal="center" vertical="center" wrapText="1"/>
    </xf>
    <xf numFmtId="10" fontId="9" fillId="0" borderId="9" xfId="0" applyNumberFormat="1" applyFont="1" applyBorder="1" applyAlignment="1">
      <alignment horizontal="center" vertical="center" wrapText="1"/>
    </xf>
    <xf numFmtId="0" fontId="6" fillId="0" borderId="16" xfId="0" applyFont="1" applyBorder="1" applyAlignment="1">
      <alignment horizontal="center" vertical="center"/>
    </xf>
    <xf numFmtId="0" fontId="9" fillId="0" borderId="9" xfId="0" applyFont="1" applyBorder="1" applyAlignment="1">
      <alignment horizontal="center" vertical="center"/>
    </xf>
    <xf numFmtId="0" fontId="8" fillId="5" borderId="10" xfId="0" applyFont="1" applyFill="1" applyBorder="1"/>
    <xf numFmtId="165" fontId="10" fillId="8" borderId="10" xfId="0" applyNumberFormat="1" applyFont="1" applyFill="1" applyBorder="1"/>
    <xf numFmtId="164" fontId="10" fillId="8" borderId="10" xfId="0" applyNumberFormat="1" applyFont="1" applyFill="1" applyBorder="1"/>
    <xf numFmtId="165" fontId="10" fillId="8" borderId="10" xfId="0" applyNumberFormat="1" applyFont="1" applyFill="1" applyBorder="1" applyProtection="1">
      <protection hidden="1"/>
    </xf>
    <xf numFmtId="0" fontId="8" fillId="5" borderId="10" xfId="0" applyFont="1" applyFill="1" applyBorder="1" applyAlignment="1">
      <alignment horizontal="center"/>
    </xf>
    <xf numFmtId="0" fontId="6" fillId="0" borderId="10" xfId="0" applyFont="1" applyFill="1" applyBorder="1" applyAlignment="1">
      <alignment horizontal="center"/>
    </xf>
    <xf numFmtId="0" fontId="2" fillId="3" borderId="2" xfId="0" applyFont="1" applyFill="1" applyBorder="1"/>
    <xf numFmtId="0" fontId="2" fillId="2" borderId="0" xfId="0" applyFont="1" applyFill="1" applyAlignment="1">
      <alignment wrapText="1"/>
    </xf>
    <xf numFmtId="0" fontId="4" fillId="3" borderId="10" xfId="0" applyFont="1" applyFill="1" applyBorder="1" applyAlignment="1">
      <alignment horizontal="center" vertical="center" wrapText="1"/>
    </xf>
    <xf numFmtId="0" fontId="2" fillId="3" borderId="2" xfId="0" applyFont="1" applyFill="1" applyBorder="1" applyAlignment="1">
      <alignment wrapText="1"/>
    </xf>
    <xf numFmtId="0" fontId="2" fillId="3" borderId="8" xfId="0" applyFont="1" applyFill="1" applyBorder="1" applyAlignment="1">
      <alignment wrapText="1"/>
    </xf>
    <xf numFmtId="0" fontId="2" fillId="2" borderId="0" xfId="0" applyFont="1" applyFill="1" applyAlignment="1">
      <alignment horizontal="right"/>
    </xf>
    <xf numFmtId="0" fontId="2" fillId="3" borderId="2" xfId="0" applyFont="1" applyFill="1" applyBorder="1" applyAlignment="1">
      <alignment horizontal="right"/>
    </xf>
    <xf numFmtId="0" fontId="2" fillId="3" borderId="0" xfId="0" applyFont="1" applyFill="1" applyBorder="1" applyAlignment="1">
      <alignment horizontal="right"/>
    </xf>
    <xf numFmtId="0" fontId="2" fillId="3" borderId="8" xfId="0" applyFont="1" applyFill="1" applyBorder="1" applyAlignment="1">
      <alignment horizontal="right"/>
    </xf>
    <xf numFmtId="0" fontId="2" fillId="3" borderId="0" xfId="0" applyFont="1" applyFill="1" applyBorder="1" applyAlignment="1">
      <alignment vertical="center"/>
    </xf>
    <xf numFmtId="0" fontId="5" fillId="3" borderId="0" xfId="0" applyFont="1" applyFill="1" applyBorder="1" applyAlignment="1">
      <alignment horizontal="right"/>
    </xf>
    <xf numFmtId="168" fontId="5" fillId="3" borderId="0" xfId="0" applyNumberFormat="1" applyFont="1" applyFill="1" applyBorder="1"/>
    <xf numFmtId="10" fontId="6" fillId="0" borderId="10" xfId="0" applyNumberFormat="1" applyFont="1" applyFill="1" applyBorder="1" applyAlignment="1">
      <alignment horizont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5" xfId="0" applyFont="1" applyFill="1" applyBorder="1" applyAlignment="1">
      <alignment horizontal="center" vertical="center" wrapText="1"/>
    </xf>
    <xf numFmtId="0" fontId="2" fillId="3" borderId="4" xfId="0" applyFont="1" applyFill="1" applyBorder="1" applyAlignment="1">
      <alignment vertical="center"/>
    </xf>
    <xf numFmtId="0" fontId="2" fillId="3" borderId="5" xfId="0" applyFont="1" applyFill="1" applyBorder="1" applyAlignment="1">
      <alignment vertical="center"/>
    </xf>
    <xf numFmtId="0" fontId="2" fillId="2" borderId="0" xfId="0" applyFont="1" applyFill="1" applyAlignment="1">
      <alignment vertical="center"/>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2" borderId="0" xfId="0" applyFont="1" applyFill="1" applyAlignment="1">
      <alignment vertical="center" wrapText="1"/>
    </xf>
    <xf numFmtId="0" fontId="2" fillId="3" borderId="11" xfId="0" applyFont="1" applyFill="1" applyBorder="1" applyAlignment="1">
      <alignment vertical="center" wrapText="1"/>
    </xf>
    <xf numFmtId="0" fontId="5" fillId="3" borderId="20" xfId="0" applyFont="1" applyFill="1" applyBorder="1" applyAlignment="1">
      <alignment horizontal="right" vertical="center"/>
    </xf>
    <xf numFmtId="165" fontId="5" fillId="3" borderId="21" xfId="0" applyNumberFormat="1" applyFont="1" applyFill="1" applyBorder="1" applyAlignment="1">
      <alignment vertical="center"/>
    </xf>
    <xf numFmtId="0" fontId="5" fillId="3" borderId="22" xfId="0" applyFont="1" applyFill="1" applyBorder="1" applyAlignment="1">
      <alignment horizontal="right" vertical="center"/>
    </xf>
    <xf numFmtId="165" fontId="5" fillId="3" borderId="23" xfId="0" applyNumberFormat="1" applyFont="1" applyFill="1" applyBorder="1" applyAlignment="1">
      <alignment vertical="center"/>
    </xf>
    <xf numFmtId="165" fontId="2" fillId="2" borderId="0" xfId="0" applyNumberFormat="1" applyFont="1" applyFill="1" applyAlignment="1">
      <alignment vertical="center"/>
    </xf>
    <xf numFmtId="165" fontId="5" fillId="3" borderId="0" xfId="0" applyNumberFormat="1" applyFont="1" applyFill="1" applyBorder="1" applyAlignment="1">
      <alignment vertical="center"/>
    </xf>
    <xf numFmtId="0" fontId="5" fillId="3" borderId="0" xfId="0" applyFont="1" applyFill="1" applyBorder="1" applyAlignment="1">
      <alignment horizontal="center" vertical="center"/>
    </xf>
    <xf numFmtId="165" fontId="5" fillId="3" borderId="24" xfId="0" applyNumberFormat="1" applyFont="1" applyFill="1" applyBorder="1" applyAlignment="1">
      <alignment vertical="center"/>
    </xf>
    <xf numFmtId="0" fontId="5" fillId="3" borderId="24" xfId="0" applyFont="1" applyFill="1" applyBorder="1" applyAlignment="1">
      <alignment horizontal="center" vertical="center"/>
    </xf>
    <xf numFmtId="0" fontId="4" fillId="3" borderId="27" xfId="0" applyFont="1" applyFill="1" applyBorder="1" applyAlignment="1">
      <alignment horizontal="center" vertical="center"/>
    </xf>
    <xf numFmtId="0" fontId="5" fillId="3" borderId="12" xfId="0" applyFont="1" applyFill="1" applyBorder="1" applyAlignment="1">
      <alignment horizontal="center" vertical="center"/>
    </xf>
    <xf numFmtId="165" fontId="5" fillId="3" borderId="0" xfId="0" applyNumberFormat="1" applyFont="1" applyFill="1" applyBorder="1" applyAlignment="1">
      <alignment horizontal="right" vertical="center"/>
    </xf>
    <xf numFmtId="0" fontId="5" fillId="3" borderId="18" xfId="0" applyFont="1" applyFill="1" applyBorder="1" applyAlignment="1">
      <alignment horizontal="right" vertical="center"/>
    </xf>
    <xf numFmtId="165" fontId="5" fillId="3" borderId="26" xfId="0" applyNumberFormat="1" applyFont="1" applyFill="1" applyBorder="1" applyAlignment="1">
      <alignment vertical="center"/>
    </xf>
    <xf numFmtId="0" fontId="5" fillId="3" borderId="26" xfId="0" applyFont="1" applyFill="1" applyBorder="1" applyAlignment="1">
      <alignment horizontal="center" vertical="center"/>
    </xf>
    <xf numFmtId="165" fontId="5" fillId="3" borderId="19" xfId="0" applyNumberFormat="1" applyFont="1" applyFill="1" applyBorder="1" applyAlignment="1">
      <alignment vertical="center"/>
    </xf>
    <xf numFmtId="0" fontId="5" fillId="3" borderId="0" xfId="0" applyFont="1" applyFill="1" applyBorder="1" applyAlignment="1">
      <alignment horizontal="right" vertical="center"/>
    </xf>
    <xf numFmtId="165" fontId="2" fillId="3" borderId="0" xfId="0" applyNumberFormat="1" applyFont="1" applyFill="1" applyBorder="1" applyAlignment="1">
      <alignment vertical="center"/>
    </xf>
    <xf numFmtId="0" fontId="5" fillId="3" borderId="11" xfId="0" applyFont="1" applyFill="1" applyBorder="1" applyAlignment="1">
      <alignment horizontal="right" vertical="center"/>
    </xf>
    <xf numFmtId="165" fontId="5" fillId="3" borderId="12" xfId="0" applyNumberFormat="1" applyFont="1" applyFill="1" applyBorder="1" applyAlignment="1">
      <alignment vertical="center"/>
    </xf>
    <xf numFmtId="165" fontId="5" fillId="3" borderId="13" xfId="0" applyNumberFormat="1" applyFont="1" applyFill="1" applyBorder="1" applyAlignment="1">
      <alignment vertical="center"/>
    </xf>
    <xf numFmtId="0" fontId="5" fillId="3" borderId="0" xfId="0" applyFont="1" applyFill="1" applyBorder="1" applyAlignment="1">
      <alignment vertical="center"/>
    </xf>
    <xf numFmtId="0" fontId="4" fillId="2" borderId="0" xfId="0" applyFont="1" applyFill="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165" fontId="2" fillId="3" borderId="2" xfId="0" applyNumberFormat="1" applyFont="1" applyFill="1" applyBorder="1" applyAlignment="1">
      <alignment vertical="center"/>
    </xf>
    <xf numFmtId="0" fontId="2" fillId="3" borderId="3"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165" fontId="2" fillId="3" borderId="8" xfId="0" applyNumberFormat="1" applyFont="1" applyFill="1" applyBorder="1" applyAlignment="1">
      <alignment vertical="center"/>
    </xf>
    <xf numFmtId="0" fontId="2" fillId="3" borderId="9" xfId="0" applyFont="1" applyFill="1" applyBorder="1" applyAlignment="1">
      <alignment vertical="center"/>
    </xf>
    <xf numFmtId="0" fontId="3" fillId="3" borderId="0" xfId="0" applyFont="1" applyFill="1" applyBorder="1" applyAlignment="1">
      <alignment vertical="center"/>
    </xf>
    <xf numFmtId="165"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169" fontId="6" fillId="0" borderId="10" xfId="0" applyNumberFormat="1" applyFont="1" applyFill="1" applyBorder="1" applyAlignment="1">
      <alignment horizontal="center"/>
    </xf>
    <xf numFmtId="0" fontId="13" fillId="3" borderId="0" xfId="0" applyFont="1" applyFill="1" applyBorder="1" applyAlignment="1">
      <alignment vertical="center"/>
    </xf>
    <xf numFmtId="165" fontId="13" fillId="3" borderId="0" xfId="0" applyNumberFormat="1" applyFont="1" applyFill="1" applyBorder="1" applyAlignment="1">
      <alignment vertical="center"/>
    </xf>
    <xf numFmtId="0" fontId="3" fillId="3" borderId="0" xfId="0" applyFont="1" applyFill="1" applyBorder="1" applyAlignment="1">
      <alignment wrapText="1"/>
    </xf>
    <xf numFmtId="0" fontId="2" fillId="3" borderId="0" xfId="0" applyFont="1" applyFill="1" applyBorder="1" applyAlignment="1">
      <alignment wrapText="1"/>
    </xf>
    <xf numFmtId="4" fontId="5" fillId="3" borderId="21" xfId="0" applyNumberFormat="1" applyFont="1" applyFill="1" applyBorder="1" applyAlignment="1">
      <alignment vertical="center"/>
    </xf>
    <xf numFmtId="165" fontId="13" fillId="4" borderId="31" xfId="0" applyNumberFormat="1" applyFont="1" applyFill="1" applyBorder="1" applyAlignment="1">
      <alignment vertical="center"/>
    </xf>
    <xf numFmtId="0" fontId="2" fillId="3" borderId="10" xfId="0" applyFont="1" applyFill="1" applyBorder="1"/>
    <xf numFmtId="0" fontId="4" fillId="5" borderId="10" xfId="0" applyFont="1" applyFill="1" applyBorder="1"/>
    <xf numFmtId="0" fontId="3" fillId="3" borderId="0" xfId="0" applyFont="1" applyFill="1" applyBorder="1"/>
    <xf numFmtId="0" fontId="2" fillId="3" borderId="11" xfId="0" applyFont="1" applyFill="1" applyBorder="1" applyAlignment="1">
      <alignment horizontal="right"/>
    </xf>
    <xf numFmtId="0" fontId="2" fillId="3" borderId="13" xfId="0" applyFont="1" applyFill="1" applyBorder="1"/>
    <xf numFmtId="0" fontId="5" fillId="3" borderId="0" xfId="0" applyFont="1" applyFill="1" applyBorder="1" applyAlignment="1"/>
    <xf numFmtId="0" fontId="4" fillId="0" borderId="6" xfId="0" applyFont="1" applyFill="1" applyBorder="1" applyAlignment="1" applyProtection="1">
      <alignment horizontal="center" vertical="center"/>
      <protection locked="0"/>
    </xf>
    <xf numFmtId="0" fontId="2" fillId="3" borderId="0" xfId="0" applyFont="1" applyFill="1" applyBorder="1" applyAlignment="1">
      <alignment wrapText="1"/>
    </xf>
    <xf numFmtId="0" fontId="3" fillId="3" borderId="0" xfId="0" applyFont="1" applyFill="1" applyBorder="1" applyAlignment="1"/>
    <xf numFmtId="0" fontId="17" fillId="2" borderId="0" xfId="0" applyFont="1" applyFill="1" applyAlignment="1">
      <alignment horizontal="center" vertical="center"/>
    </xf>
    <xf numFmtId="0" fontId="17" fillId="3" borderId="2"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8" xfId="0" applyFont="1" applyFill="1" applyBorder="1" applyAlignment="1">
      <alignment horizontal="center" vertical="center"/>
    </xf>
    <xf numFmtId="0" fontId="2" fillId="3" borderId="35" xfId="0" applyFont="1" applyFill="1" applyBorder="1" applyAlignment="1">
      <alignment vertical="center"/>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9" xfId="0" applyFont="1" applyFill="1" applyBorder="1" applyAlignment="1">
      <alignment vertical="center"/>
    </xf>
    <xf numFmtId="0" fontId="4" fillId="3" borderId="1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0" borderId="30" xfId="0" applyFont="1" applyFill="1" applyBorder="1" applyAlignment="1" applyProtection="1">
      <alignment horizontal="center" vertical="center"/>
      <protection locked="0"/>
    </xf>
    <xf numFmtId="0" fontId="2" fillId="3" borderId="10" xfId="0" applyFont="1" applyFill="1" applyBorder="1" applyAlignment="1">
      <alignment vertical="center" wrapText="1"/>
    </xf>
    <xf numFmtId="0" fontId="17" fillId="9" borderId="28" xfId="0" applyFont="1" applyFill="1" applyBorder="1" applyAlignment="1">
      <alignment horizontal="center" vertical="center"/>
    </xf>
    <xf numFmtId="0" fontId="17" fillId="9" borderId="10" xfId="0" applyFont="1" applyFill="1" applyBorder="1" applyAlignment="1">
      <alignment horizontal="center" vertical="center"/>
    </xf>
    <xf numFmtId="2" fontId="17" fillId="9" borderId="40" xfId="0" applyNumberFormat="1" applyFont="1" applyFill="1" applyBorder="1" applyAlignment="1">
      <alignment horizontal="center" vertical="center"/>
    </xf>
    <xf numFmtId="0" fontId="17" fillId="9" borderId="25" xfId="0" applyFont="1" applyFill="1" applyBorder="1" applyAlignment="1">
      <alignment horizontal="center" vertical="center"/>
    </xf>
    <xf numFmtId="0" fontId="2"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5" fillId="3" borderId="0" xfId="0" applyFont="1" applyFill="1" applyBorder="1" applyAlignment="1">
      <alignment horizontal="center"/>
    </xf>
    <xf numFmtId="0" fontId="2" fillId="3" borderId="8" xfId="0" applyFont="1" applyFill="1" applyBorder="1" applyAlignment="1">
      <alignment horizontal="center"/>
    </xf>
    <xf numFmtId="167" fontId="4" fillId="0" borderId="30" xfId="0" applyNumberFormat="1" applyFont="1" applyFill="1" applyBorder="1" applyAlignment="1" applyProtection="1">
      <alignment horizontal="center"/>
      <protection locked="0"/>
    </xf>
    <xf numFmtId="167" fontId="4" fillId="0" borderId="30" xfId="0" applyNumberFormat="1" applyFont="1" applyFill="1" applyBorder="1" applyAlignment="1" applyProtection="1">
      <alignment horizontal="right"/>
      <protection locked="0"/>
    </xf>
    <xf numFmtId="167" fontId="4" fillId="0" borderId="30" xfId="0" applyNumberFormat="1" applyFont="1" applyFill="1" applyBorder="1" applyProtection="1">
      <protection locked="0"/>
    </xf>
    <xf numFmtId="0" fontId="17" fillId="9" borderId="10" xfId="0" applyFont="1" applyFill="1" applyBorder="1" applyAlignment="1">
      <alignment horizontal="center"/>
    </xf>
    <xf numFmtId="2" fontId="17" fillId="9" borderId="10" xfId="0" applyNumberFormat="1" applyFont="1" applyFill="1" applyBorder="1" applyAlignment="1">
      <alignment horizontal="center"/>
    </xf>
    <xf numFmtId="167" fontId="4" fillId="0" borderId="30" xfId="0" applyNumberFormat="1" applyFont="1" applyFill="1" applyBorder="1" applyAlignment="1" applyProtection="1">
      <alignment vertical="center"/>
      <protection locked="0"/>
    </xf>
    <xf numFmtId="0" fontId="2" fillId="2" borderId="0" xfId="0" applyFont="1" applyFill="1" applyAlignment="1">
      <alignment horizontal="center" wrapText="1"/>
    </xf>
    <xf numFmtId="0" fontId="2" fillId="3" borderId="2" xfId="0" applyFont="1" applyFill="1" applyBorder="1" applyAlignment="1">
      <alignment horizontal="center" wrapText="1"/>
    </xf>
    <xf numFmtId="0" fontId="2" fillId="9" borderId="10" xfId="0" applyFont="1" applyFill="1" applyBorder="1" applyAlignment="1">
      <alignment horizontal="center" vertical="center" wrapText="1"/>
    </xf>
    <xf numFmtId="0" fontId="2" fillId="3" borderId="8" xfId="0" applyFont="1" applyFill="1" applyBorder="1" applyAlignment="1">
      <alignment horizontal="center" wrapText="1"/>
    </xf>
    <xf numFmtId="0" fontId="2" fillId="2" borderId="0" xfId="0" applyFont="1" applyFill="1" applyAlignment="1">
      <alignment horizontal="right" wrapText="1"/>
    </xf>
    <xf numFmtId="0" fontId="2" fillId="3" borderId="2" xfId="0" applyFont="1" applyFill="1" applyBorder="1" applyAlignment="1">
      <alignment horizontal="right" wrapText="1"/>
    </xf>
    <xf numFmtId="0" fontId="3" fillId="3" borderId="19"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2" fillId="3" borderId="8" xfId="0" applyFont="1" applyFill="1" applyBorder="1" applyAlignment="1">
      <alignment horizontal="right" wrapText="1"/>
    </xf>
    <xf numFmtId="0" fontId="3" fillId="3" borderId="18" xfId="0" applyFont="1" applyFill="1" applyBorder="1" applyAlignment="1">
      <alignment horizontal="center" vertical="center" wrapText="1"/>
    </xf>
    <xf numFmtId="0" fontId="3" fillId="3" borderId="25"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28" xfId="0" applyFont="1" applyFill="1" applyBorder="1" applyAlignment="1">
      <alignment horizontal="center" vertical="center" wrapText="1"/>
    </xf>
    <xf numFmtId="0" fontId="4" fillId="0" borderId="10" xfId="0" applyFont="1" applyFill="1" applyBorder="1" applyAlignment="1" applyProtection="1">
      <protection locked="0"/>
    </xf>
    <xf numFmtId="0" fontId="17" fillId="3" borderId="0" xfId="0" applyFont="1" applyFill="1" applyBorder="1" applyAlignment="1">
      <alignment horizontal="center"/>
    </xf>
    <xf numFmtId="0" fontId="11" fillId="3" borderId="0" xfId="0" applyFont="1" applyFill="1" applyAlignment="1"/>
    <xf numFmtId="2" fontId="6" fillId="0" borderId="10" xfId="0" applyNumberFormat="1" applyFont="1" applyFill="1" applyBorder="1" applyProtection="1">
      <protection hidden="1"/>
    </xf>
    <xf numFmtId="2" fontId="10" fillId="8" borderId="10" xfId="0" applyNumberFormat="1" applyFont="1" applyFill="1" applyBorder="1"/>
    <xf numFmtId="0" fontId="19" fillId="3" borderId="0" xfId="0" applyFont="1" applyFill="1" applyBorder="1" applyAlignment="1">
      <alignment horizontal="right" vertical="center" wrapText="1"/>
    </xf>
    <xf numFmtId="0" fontId="19" fillId="3" borderId="0" xfId="0" applyFont="1" applyFill="1" applyBorder="1" applyAlignment="1">
      <alignment horizontal="center" vertical="center"/>
    </xf>
    <xf numFmtId="0" fontId="20" fillId="3" borderId="4" xfId="0" applyFont="1" applyFill="1" applyBorder="1" applyAlignment="1">
      <alignment vertical="center"/>
    </xf>
    <xf numFmtId="0" fontId="19" fillId="3" borderId="0" xfId="0" applyFont="1" applyFill="1" applyBorder="1" applyAlignment="1">
      <alignment vertical="center" wrapText="1"/>
    </xf>
    <xf numFmtId="0" fontId="20" fillId="3" borderId="0" xfId="0" applyFont="1" applyFill="1" applyBorder="1" applyAlignment="1">
      <alignment vertical="center" wrapText="1"/>
    </xf>
    <xf numFmtId="0" fontId="20" fillId="3" borderId="5" xfId="0" applyFont="1" applyFill="1" applyBorder="1" applyAlignment="1">
      <alignment vertical="center"/>
    </xf>
    <xf numFmtId="0" fontId="20" fillId="2" borderId="0" xfId="0" applyFont="1" applyFill="1" applyAlignment="1">
      <alignment vertical="center"/>
    </xf>
    <xf numFmtId="0" fontId="4" fillId="3" borderId="2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0" xfId="0" applyFont="1" applyFill="1" applyBorder="1" applyAlignment="1" applyProtection="1"/>
    <xf numFmtId="0" fontId="4" fillId="3" borderId="2" xfId="0" applyFont="1" applyFill="1" applyBorder="1" applyAlignment="1">
      <alignment horizontal="left" vertical="center"/>
    </xf>
    <xf numFmtId="165" fontId="4" fillId="3" borderId="2" xfId="0" applyNumberFormat="1" applyFont="1" applyFill="1" applyBorder="1" applyAlignment="1">
      <alignment horizontal="right" vertical="center"/>
    </xf>
    <xf numFmtId="0" fontId="5" fillId="3" borderId="0" xfId="0" applyFont="1" applyFill="1" applyBorder="1" applyAlignment="1">
      <alignment horizontal="left" vertical="center"/>
    </xf>
    <xf numFmtId="2" fontId="5" fillId="3" borderId="0" xfId="0" applyNumberFormat="1" applyFont="1" applyFill="1" applyBorder="1" applyAlignment="1">
      <alignment horizontal="right" vertical="center"/>
    </xf>
    <xf numFmtId="0" fontId="5" fillId="3" borderId="8" xfId="0" applyFont="1" applyFill="1" applyBorder="1" applyAlignment="1">
      <alignment horizontal="left" vertical="center"/>
    </xf>
    <xf numFmtId="0" fontId="5" fillId="3" borderId="8" xfId="0" applyFont="1" applyFill="1" applyBorder="1" applyAlignment="1">
      <alignment horizontal="right" vertical="center"/>
    </xf>
    <xf numFmtId="4" fontId="5" fillId="3" borderId="8" xfId="0" applyNumberFormat="1" applyFont="1" applyFill="1" applyBorder="1" applyAlignment="1">
      <alignment horizontal="right" vertical="center"/>
    </xf>
    <xf numFmtId="9" fontId="4" fillId="3" borderId="2" xfId="0" applyNumberFormat="1" applyFont="1" applyFill="1" applyBorder="1" applyAlignment="1">
      <alignment horizontal="center" vertical="center"/>
    </xf>
    <xf numFmtId="165" fontId="3" fillId="3" borderId="0" xfId="0" applyNumberFormat="1" applyFont="1" applyFill="1" applyBorder="1" applyAlignment="1">
      <alignment horizontal="right" vertical="center" wrapText="1"/>
    </xf>
    <xf numFmtId="0" fontId="2" fillId="3" borderId="0" xfId="0" applyFont="1" applyFill="1" applyBorder="1" applyAlignment="1">
      <alignment vertical="center" wrapText="1" readingOrder="1"/>
    </xf>
    <xf numFmtId="0" fontId="4" fillId="5" borderId="11" xfId="0" applyFont="1" applyFill="1" applyBorder="1" applyAlignment="1"/>
    <xf numFmtId="0" fontId="4" fillId="5" borderId="13" xfId="0" applyFont="1" applyFill="1" applyBorder="1" applyAlignment="1"/>
    <xf numFmtId="0" fontId="2" fillId="3" borderId="0" xfId="0" applyFont="1" applyFill="1" applyBorder="1" applyAlignment="1">
      <alignment wrapText="1"/>
    </xf>
    <xf numFmtId="0" fontId="0" fillId="3" borderId="0" xfId="0" applyFill="1" applyBorder="1" applyAlignment="1">
      <alignment wrapText="1"/>
    </xf>
    <xf numFmtId="0" fontId="2" fillId="3" borderId="0" xfId="0" applyFont="1" applyFill="1" applyBorder="1" applyAlignment="1">
      <alignment horizontal="left" wrapText="1"/>
    </xf>
    <xf numFmtId="165" fontId="4" fillId="0" borderId="8" xfId="0" applyNumberFormat="1"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3" fillId="3" borderId="0" xfId="0" applyFont="1" applyFill="1" applyBorder="1" applyAlignment="1">
      <alignment vertical="center"/>
    </xf>
    <xf numFmtId="0" fontId="11" fillId="0" borderId="0" xfId="0" applyFont="1" applyBorder="1" applyAlignment="1">
      <alignment vertical="center"/>
    </xf>
    <xf numFmtId="0" fontId="13" fillId="5" borderId="32" xfId="0" applyFont="1" applyFill="1" applyBorder="1" applyAlignment="1">
      <alignment horizontal="center" vertical="center"/>
    </xf>
    <xf numFmtId="0" fontId="13" fillId="5" borderId="33"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34" xfId="0" applyFont="1" applyFill="1" applyBorder="1" applyAlignment="1">
      <alignment horizontal="center" vertical="center"/>
    </xf>
    <xf numFmtId="165" fontId="4" fillId="0" borderId="29" xfId="0" applyNumberFormat="1" applyFont="1" applyFill="1" applyBorder="1" applyAlignment="1" applyProtection="1">
      <alignment horizontal="left" vertical="center"/>
      <protection locked="0"/>
    </xf>
    <xf numFmtId="165" fontId="4" fillId="0" borderId="30" xfId="0" applyNumberFormat="1"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protection locked="0"/>
    </xf>
    <xf numFmtId="171" fontId="4" fillId="0" borderId="29" xfId="0" applyNumberFormat="1" applyFont="1" applyFill="1" applyBorder="1" applyAlignment="1" applyProtection="1">
      <alignment horizontal="left" vertical="center"/>
      <protection locked="0"/>
    </xf>
    <xf numFmtId="171" fontId="1" fillId="0" borderId="29" xfId="0" applyNumberFormat="1" applyFont="1" applyFill="1" applyBorder="1" applyAlignment="1" applyProtection="1">
      <alignment horizontal="left" vertical="center"/>
      <protection locked="0"/>
    </xf>
    <xf numFmtId="171" fontId="1" fillId="0" borderId="30" xfId="0" applyNumberFormat="1" applyFont="1" applyFill="1" applyBorder="1" applyAlignment="1" applyProtection="1">
      <alignment horizontal="left" vertical="center"/>
      <protection locked="0"/>
    </xf>
    <xf numFmtId="170" fontId="4" fillId="0" borderId="29" xfId="0" applyNumberFormat="1" applyFont="1" applyFill="1" applyBorder="1" applyAlignment="1" applyProtection="1">
      <alignment horizontal="left" vertical="center"/>
      <protection locked="0"/>
    </xf>
    <xf numFmtId="170" fontId="1" fillId="0" borderId="29" xfId="0" applyNumberFormat="1" applyFont="1" applyFill="1" applyBorder="1" applyAlignment="1" applyProtection="1">
      <alignment horizontal="left" vertical="center"/>
      <protection locked="0"/>
    </xf>
    <xf numFmtId="170" fontId="1" fillId="0" borderId="30" xfId="0" applyNumberFormat="1" applyFont="1" applyFill="1" applyBorder="1" applyAlignment="1" applyProtection="1">
      <alignment horizontal="left" vertical="center"/>
      <protection locked="0"/>
    </xf>
    <xf numFmtId="169" fontId="4" fillId="0" borderId="2" xfId="0" applyNumberFormat="1" applyFont="1" applyFill="1" applyBorder="1" applyAlignment="1" applyProtection="1">
      <alignment horizontal="left" vertical="center"/>
      <protection locked="0"/>
    </xf>
    <xf numFmtId="169" fontId="1" fillId="0" borderId="2" xfId="0" applyNumberFormat="1" applyFont="1" applyFill="1" applyBorder="1" applyAlignment="1" applyProtection="1">
      <alignment horizontal="left" vertical="center"/>
      <protection locked="0"/>
    </xf>
    <xf numFmtId="169" fontId="1" fillId="0" borderId="3" xfId="0" applyNumberFormat="1" applyFont="1" applyFill="1" applyBorder="1" applyAlignment="1" applyProtection="1">
      <alignment horizontal="left" vertical="center"/>
      <protection locked="0"/>
    </xf>
    <xf numFmtId="0" fontId="13" fillId="5" borderId="36" xfId="0" applyFont="1" applyFill="1" applyBorder="1" applyAlignment="1">
      <alignment horizontal="center" vertical="center"/>
    </xf>
    <xf numFmtId="0" fontId="13" fillId="5" borderId="12"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38" xfId="0" applyFont="1" applyFill="1" applyBorder="1" applyAlignment="1">
      <alignment horizontal="center" vertical="center"/>
    </xf>
    <xf numFmtId="165" fontId="4" fillId="0" borderId="41" xfId="0" applyNumberFormat="1" applyFont="1" applyFill="1" applyBorder="1" applyAlignment="1" applyProtection="1">
      <alignment horizontal="left" vertical="center"/>
      <protection locked="0"/>
    </xf>
    <xf numFmtId="0" fontId="3" fillId="3" borderId="0" xfId="0" applyFont="1" applyFill="1" applyBorder="1" applyAlignment="1"/>
    <xf numFmtId="0" fontId="11" fillId="0" borderId="0" xfId="0" applyFont="1" applyAlignment="1"/>
    <xf numFmtId="0" fontId="4" fillId="0" borderId="29" xfId="0" applyFont="1" applyFill="1" applyBorder="1" applyAlignment="1" applyProtection="1">
      <alignment horizontal="center" vertical="center" wrapText="1"/>
      <protection locked="0"/>
    </xf>
    <xf numFmtId="0" fontId="0" fillId="0" borderId="30" xfId="0" applyBorder="1" applyAlignment="1" applyProtection="1">
      <alignment vertical="center"/>
      <protection locked="0"/>
    </xf>
    <xf numFmtId="0" fontId="4" fillId="3" borderId="25" xfId="0" applyFont="1" applyFill="1" applyBorder="1" applyAlignment="1">
      <alignment horizontal="center" vertical="center" wrapText="1"/>
    </xf>
    <xf numFmtId="0" fontId="0" fillId="0" borderId="28" xfId="0" applyBorder="1" applyAlignment="1">
      <alignment horizontal="center" vertical="center"/>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0" borderId="42" xfId="0" applyBorder="1" applyAlignment="1">
      <alignment horizontal="center" vertical="center"/>
    </xf>
    <xf numFmtId="0" fontId="3" fillId="3" borderId="10" xfId="0" applyFont="1" applyFill="1" applyBorder="1" applyAlignment="1">
      <alignment horizontal="center" vertical="center" wrapText="1"/>
    </xf>
    <xf numFmtId="0" fontId="0" fillId="0" borderId="10" xfId="0" applyBorder="1" applyAlignment="1">
      <alignment vertical="center" wrapText="1"/>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4" fillId="3" borderId="4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5" fillId="3" borderId="20" xfId="0" applyFont="1" applyFill="1" applyBorder="1" applyAlignment="1">
      <alignment vertical="center" wrapText="1"/>
    </xf>
    <xf numFmtId="0" fontId="0" fillId="0" borderId="0" xfId="0" applyBorder="1" applyAlignment="1">
      <alignment vertical="center"/>
    </xf>
    <xf numFmtId="0" fontId="5" fillId="3" borderId="22" xfId="0" applyFont="1" applyFill="1" applyBorder="1" applyAlignment="1">
      <alignment vertical="center" wrapText="1"/>
    </xf>
    <xf numFmtId="0" fontId="0" fillId="0" borderId="24" xfId="0" applyBorder="1" applyAlignment="1">
      <alignment vertical="center"/>
    </xf>
    <xf numFmtId="0" fontId="13" fillId="3" borderId="0" xfId="0" applyFont="1" applyFill="1" applyBorder="1" applyAlignment="1">
      <alignment vertical="center" wrapText="1"/>
    </xf>
    <xf numFmtId="0" fontId="14" fillId="0" borderId="0" xfId="0" applyFont="1" applyAlignment="1">
      <alignment vertical="center"/>
    </xf>
    <xf numFmtId="0" fontId="5" fillId="3" borderId="18" xfId="0" applyFont="1" applyFill="1" applyBorder="1" applyAlignment="1">
      <alignment vertical="center"/>
    </xf>
    <xf numFmtId="0" fontId="0" fillId="0" borderId="26" xfId="0" applyBorder="1" applyAlignment="1">
      <alignment vertical="center"/>
    </xf>
    <xf numFmtId="0" fontId="8" fillId="7" borderId="14" xfId="0" applyFont="1" applyFill="1" applyBorder="1" applyAlignment="1">
      <alignment horizontal="center" vertical="center"/>
    </xf>
    <xf numFmtId="0" fontId="1" fillId="0" borderId="17" xfId="0" applyFont="1" applyBorder="1" applyAlignment="1">
      <alignment vertical="center"/>
    </xf>
    <xf numFmtId="0" fontId="1" fillId="0" borderId="16" xfId="0" applyFont="1" applyBorder="1" applyAlignment="1">
      <alignment vertical="center"/>
    </xf>
    <xf numFmtId="0" fontId="8"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7" fillId="6" borderId="11" xfId="0" applyFont="1" applyFill="1" applyBorder="1" applyAlignment="1">
      <alignment horizontal="center"/>
    </xf>
    <xf numFmtId="0" fontId="0" fillId="6" borderId="12" xfId="0" applyFill="1" applyBorder="1" applyAlignment="1">
      <alignment horizontal="center"/>
    </xf>
    <xf numFmtId="0" fontId="0" fillId="6" borderId="13" xfId="0" applyFill="1" applyBorder="1" applyAlignment="1">
      <alignment horizontal="center"/>
    </xf>
    <xf numFmtId="0" fontId="8" fillId="5" borderId="15"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7" borderId="1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zoomScale="75" zoomScaleNormal="75" workbookViewId="0">
      <selection activeCell="D7" sqref="D7"/>
    </sheetView>
  </sheetViews>
  <sheetFormatPr defaultColWidth="0" defaultRowHeight="15" zeroHeight="1" x14ac:dyDescent="0.25"/>
  <cols>
    <col min="1" max="1" width="8" style="1" customWidth="1"/>
    <col min="2" max="2" width="3.6640625" style="1" customWidth="1"/>
    <col min="3" max="3" width="8.6640625" style="1" customWidth="1"/>
    <col min="4" max="4" width="34.44140625" style="1" customWidth="1"/>
    <col min="5" max="5" width="91.33203125" style="1" customWidth="1"/>
    <col min="6" max="6" width="3.33203125" style="1" customWidth="1"/>
    <col min="7" max="7" width="8.88671875" style="1" customWidth="1"/>
    <col min="8" max="16384" width="8.88671875" style="1" hidden="1"/>
  </cols>
  <sheetData>
    <row r="1" spans="2:6" ht="15.6" thickBot="1" x14ac:dyDescent="0.3"/>
    <row r="2" spans="2:6" x14ac:dyDescent="0.25">
      <c r="B2" s="2"/>
      <c r="C2" s="26"/>
      <c r="D2" s="26"/>
      <c r="E2" s="26"/>
      <c r="F2" s="3"/>
    </row>
    <row r="3" spans="2:6" ht="22.8" x14ac:dyDescent="0.4">
      <c r="B3" s="4"/>
      <c r="C3" s="94" t="s">
        <v>243</v>
      </c>
      <c r="D3" s="6"/>
      <c r="E3" s="6"/>
      <c r="F3" s="5"/>
    </row>
    <row r="4" spans="2:6" x14ac:dyDescent="0.25">
      <c r="B4" s="4"/>
      <c r="C4" s="6"/>
      <c r="D4" s="6"/>
      <c r="E4" s="6"/>
      <c r="F4" s="5"/>
    </row>
    <row r="5" spans="2:6" ht="83.25" customHeight="1" x14ac:dyDescent="0.3">
      <c r="B5" s="4"/>
      <c r="C5" s="168" t="s">
        <v>412</v>
      </c>
      <c r="D5" s="169"/>
      <c r="E5" s="169"/>
      <c r="F5" s="5"/>
    </row>
    <row r="6" spans="2:6" x14ac:dyDescent="0.25">
      <c r="B6" s="4"/>
      <c r="C6" s="6"/>
      <c r="D6" s="6"/>
      <c r="E6" s="6"/>
      <c r="F6" s="5"/>
    </row>
    <row r="7" spans="2:6" ht="15.6" x14ac:dyDescent="0.3">
      <c r="B7" s="4"/>
      <c r="C7" s="130" t="s">
        <v>392</v>
      </c>
      <c r="D7" s="141" t="s">
        <v>9</v>
      </c>
      <c r="E7" s="6" t="s">
        <v>262</v>
      </c>
      <c r="F7" s="5"/>
    </row>
    <row r="8" spans="2:6" ht="67.5" customHeight="1" x14ac:dyDescent="0.4">
      <c r="B8" s="4"/>
      <c r="C8" s="142"/>
      <c r="D8" s="155"/>
      <c r="E8" s="99" t="s">
        <v>393</v>
      </c>
      <c r="F8" s="5"/>
    </row>
    <row r="9" spans="2:6" ht="5.25" customHeight="1" x14ac:dyDescent="0.4">
      <c r="B9" s="4"/>
      <c r="C9" s="142"/>
      <c r="D9" s="155"/>
      <c r="E9" s="6"/>
      <c r="F9" s="5"/>
    </row>
    <row r="10" spans="2:6" ht="15.6" x14ac:dyDescent="0.3">
      <c r="B10" s="4"/>
      <c r="C10" s="6"/>
      <c r="D10" s="97" t="s">
        <v>9</v>
      </c>
      <c r="E10" s="6" t="s">
        <v>263</v>
      </c>
      <c r="F10" s="5"/>
    </row>
    <row r="11" spans="2:6" x14ac:dyDescent="0.25">
      <c r="B11" s="4"/>
      <c r="C11" s="6"/>
      <c r="D11" s="6"/>
      <c r="E11" s="6"/>
      <c r="F11" s="5"/>
    </row>
    <row r="12" spans="2:6" ht="150" customHeight="1" x14ac:dyDescent="0.25">
      <c r="B12" s="4"/>
      <c r="C12" s="168" t="s">
        <v>413</v>
      </c>
      <c r="D12" s="168"/>
      <c r="E12" s="168"/>
      <c r="F12" s="5"/>
    </row>
    <row r="13" spans="2:6" ht="7.5" customHeight="1" x14ac:dyDescent="0.25">
      <c r="B13" s="4"/>
      <c r="C13" s="6"/>
      <c r="D13" s="6"/>
      <c r="E13" s="6"/>
      <c r="F13" s="5"/>
    </row>
    <row r="14" spans="2:6" ht="15.6" x14ac:dyDescent="0.3">
      <c r="B14" s="4"/>
      <c r="C14" s="166" t="s">
        <v>259</v>
      </c>
      <c r="D14" s="167"/>
      <c r="E14" s="93" t="s">
        <v>261</v>
      </c>
      <c r="F14" s="5"/>
    </row>
    <row r="15" spans="2:6" x14ac:dyDescent="0.25">
      <c r="B15" s="4"/>
      <c r="C15" s="95" t="s">
        <v>0</v>
      </c>
      <c r="D15" s="96" t="s">
        <v>244</v>
      </c>
      <c r="E15" s="92" t="s">
        <v>260</v>
      </c>
      <c r="F15" s="5"/>
    </row>
    <row r="16" spans="2:6" x14ac:dyDescent="0.25">
      <c r="B16" s="4"/>
      <c r="C16" s="95" t="s">
        <v>1</v>
      </c>
      <c r="D16" s="96" t="s">
        <v>245</v>
      </c>
      <c r="E16" s="92" t="s">
        <v>264</v>
      </c>
      <c r="F16" s="5"/>
    </row>
    <row r="17" spans="2:6" x14ac:dyDescent="0.25">
      <c r="B17" s="4"/>
      <c r="C17" s="95" t="s">
        <v>2</v>
      </c>
      <c r="D17" s="96" t="s">
        <v>224</v>
      </c>
      <c r="E17" s="92" t="s">
        <v>248</v>
      </c>
      <c r="F17" s="5"/>
    </row>
    <row r="18" spans="2:6" x14ac:dyDescent="0.25">
      <c r="B18" s="4"/>
      <c r="C18" s="95" t="s">
        <v>3</v>
      </c>
      <c r="D18" s="96" t="s">
        <v>225</v>
      </c>
      <c r="E18" s="92" t="s">
        <v>247</v>
      </c>
      <c r="F18" s="5"/>
    </row>
    <row r="19" spans="2:6" x14ac:dyDescent="0.25">
      <c r="B19" s="4"/>
      <c r="C19" s="95" t="s">
        <v>4</v>
      </c>
      <c r="D19" s="96" t="s">
        <v>226</v>
      </c>
      <c r="E19" s="92" t="s">
        <v>246</v>
      </c>
      <c r="F19" s="5"/>
    </row>
    <row r="20" spans="2:6" x14ac:dyDescent="0.25">
      <c r="B20" s="4"/>
      <c r="C20" s="95" t="s">
        <v>5</v>
      </c>
      <c r="D20" s="96" t="s">
        <v>227</v>
      </c>
      <c r="E20" s="92" t="s">
        <v>249</v>
      </c>
      <c r="F20" s="5"/>
    </row>
    <row r="21" spans="2:6" x14ac:dyDescent="0.25">
      <c r="B21" s="4"/>
      <c r="C21" s="95" t="s">
        <v>6</v>
      </c>
      <c r="D21" s="96" t="s">
        <v>228</v>
      </c>
      <c r="E21" s="92" t="s">
        <v>250</v>
      </c>
      <c r="F21" s="5"/>
    </row>
    <row r="22" spans="2:6" x14ac:dyDescent="0.25">
      <c r="B22" s="4"/>
      <c r="C22" s="95" t="s">
        <v>7</v>
      </c>
      <c r="D22" s="96" t="s">
        <v>229</v>
      </c>
      <c r="E22" s="92" t="s">
        <v>251</v>
      </c>
      <c r="F22" s="5"/>
    </row>
    <row r="23" spans="2:6" x14ac:dyDescent="0.25">
      <c r="B23" s="4"/>
      <c r="C23" s="95" t="s">
        <v>8</v>
      </c>
      <c r="D23" s="96" t="s">
        <v>230</v>
      </c>
      <c r="E23" s="92" t="s">
        <v>252</v>
      </c>
      <c r="F23" s="5"/>
    </row>
    <row r="24" spans="2:6" x14ac:dyDescent="0.25">
      <c r="B24" s="4"/>
      <c r="C24" s="95" t="s">
        <v>231</v>
      </c>
      <c r="D24" s="96" t="s">
        <v>236</v>
      </c>
      <c r="E24" s="92" t="s">
        <v>253</v>
      </c>
      <c r="F24" s="5"/>
    </row>
    <row r="25" spans="2:6" x14ac:dyDescent="0.25">
      <c r="B25" s="4"/>
      <c r="C25" s="95" t="s">
        <v>232</v>
      </c>
      <c r="D25" s="96" t="s">
        <v>237</v>
      </c>
      <c r="E25" s="92" t="s">
        <v>254</v>
      </c>
      <c r="F25" s="5"/>
    </row>
    <row r="26" spans="2:6" x14ac:dyDescent="0.25">
      <c r="B26" s="4"/>
      <c r="C26" s="95" t="s">
        <v>233</v>
      </c>
      <c r="D26" s="96" t="s">
        <v>239</v>
      </c>
      <c r="E26" s="92" t="s">
        <v>255</v>
      </c>
      <c r="F26" s="5"/>
    </row>
    <row r="27" spans="2:6" x14ac:dyDescent="0.25">
      <c r="B27" s="4"/>
      <c r="C27" s="95" t="s">
        <v>234</v>
      </c>
      <c r="D27" s="96" t="s">
        <v>240</v>
      </c>
      <c r="E27" s="92" t="s">
        <v>257</v>
      </c>
      <c r="F27" s="5"/>
    </row>
    <row r="28" spans="2:6" x14ac:dyDescent="0.25">
      <c r="B28" s="4"/>
      <c r="C28" s="95" t="s">
        <v>235</v>
      </c>
      <c r="D28" s="96" t="s">
        <v>241</v>
      </c>
      <c r="E28" s="92" t="s">
        <v>256</v>
      </c>
      <c r="F28" s="5"/>
    </row>
    <row r="29" spans="2:6" x14ac:dyDescent="0.25">
      <c r="B29" s="4"/>
      <c r="C29" s="95" t="s">
        <v>238</v>
      </c>
      <c r="D29" s="96" t="s">
        <v>242</v>
      </c>
      <c r="E29" s="92" t="s">
        <v>258</v>
      </c>
      <c r="F29" s="5"/>
    </row>
    <row r="30" spans="2:6" x14ac:dyDescent="0.25">
      <c r="B30" s="4"/>
      <c r="C30" s="33"/>
      <c r="D30" s="6"/>
      <c r="E30" s="6"/>
      <c r="F30" s="5"/>
    </row>
    <row r="31" spans="2:6" ht="33.75" customHeight="1" x14ac:dyDescent="0.25">
      <c r="B31" s="4"/>
      <c r="C31" s="170" t="s">
        <v>411</v>
      </c>
      <c r="D31" s="170"/>
      <c r="E31" s="170"/>
      <c r="F31" s="5"/>
    </row>
    <row r="32" spans="2:6" x14ac:dyDescent="0.25">
      <c r="B32" s="4"/>
      <c r="C32" s="33"/>
      <c r="D32" s="6"/>
      <c r="E32" s="6"/>
      <c r="F32" s="5"/>
    </row>
    <row r="33" spans="2:6" ht="15.6" thickBot="1" x14ac:dyDescent="0.3">
      <c r="B33" s="8"/>
      <c r="C33" s="9"/>
      <c r="D33" s="9"/>
      <c r="E33" s="9"/>
      <c r="F33" s="10"/>
    </row>
    <row r="34" spans="2:6" x14ac:dyDescent="0.25"/>
  </sheetData>
  <sheetProtection algorithmName="SHA-512" hashValue="RnWJX0eWssBPxeFzsM8xcZJ0eDHLHXjs1qtLaW9ul5hEZ3jEB5gNo7b4oHhs2UWs/Myo/7v2/ejspkV+s/t4jw==" saltValue="o8cw6eEiNyTbMUJnhqTeMw==" spinCount="100000" sheet="1" selectLockedCells="1"/>
  <mergeCells count="4">
    <mergeCell ref="C14:D14"/>
    <mergeCell ref="C5:E5"/>
    <mergeCell ref="C12:E12"/>
    <mergeCell ref="C31:E3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75" zoomScaleNormal="75" workbookViewId="0">
      <pane xSplit="4" ySplit="4" topLeftCell="E5" activePane="bottomRight" state="frozen"/>
      <selection pane="topRight" activeCell="E1" sqref="E1"/>
      <selection pane="bottomLeft" activeCell="A5" sqref="A5"/>
      <selection pane="bottomRight" activeCell="H6" sqref="H6"/>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155</v>
      </c>
      <c r="D3" s="110"/>
      <c r="E3" s="202" t="s">
        <v>361</v>
      </c>
      <c r="F3" s="202" t="s">
        <v>313</v>
      </c>
      <c r="G3" s="202" t="s">
        <v>320</v>
      </c>
      <c r="H3" s="202" t="s">
        <v>422</v>
      </c>
      <c r="I3" s="202" t="s">
        <v>129</v>
      </c>
      <c r="J3" s="43"/>
    </row>
    <row r="4" spans="2:10" s="47" customFormat="1" ht="115.95" customHeight="1" thickBot="1" x14ac:dyDescent="0.35">
      <c r="B4" s="45"/>
      <c r="C4" s="208"/>
      <c r="D4" s="153" t="s">
        <v>302</v>
      </c>
      <c r="E4" s="206"/>
      <c r="F4" s="206"/>
      <c r="G4" s="206"/>
      <c r="H4" s="206"/>
      <c r="I4" s="203"/>
      <c r="J4" s="46"/>
    </row>
    <row r="5" spans="2:10" s="44" customFormat="1" ht="34.200000000000003" customHeight="1" thickBot="1" x14ac:dyDescent="0.35">
      <c r="B5" s="42"/>
      <c r="C5" s="48" t="s">
        <v>139</v>
      </c>
      <c r="D5" s="130" t="s">
        <v>357</v>
      </c>
      <c r="E5" s="98"/>
      <c r="F5" s="98"/>
      <c r="G5" s="98"/>
      <c r="H5" s="98"/>
      <c r="I5" s="40" t="str">
        <f>IF(E5=Equations!$T$2,"Meet",IF('8) Process Pond_Res. Criteria'!E5=Equations!$T$3,IF('8) Process Pond_Res. Criteria'!F5=Equations!$T$3,IF('8) Process Pond_Res. Criteria'!G5=Equations!$T$3,IF('8) Process Pond_Res. Criteria'!H5=Equations!$T$3,"Meet","Inadequate"),"Inadequate"),"Inadequate"),"Inadequate"))</f>
        <v>Inadequate</v>
      </c>
      <c r="J5" s="43"/>
    </row>
    <row r="6" spans="2:10" s="44" customFormat="1" ht="54" customHeight="1" thickBot="1" x14ac:dyDescent="0.35">
      <c r="B6" s="42"/>
      <c r="C6" s="48" t="s">
        <v>156</v>
      </c>
      <c r="D6" s="130" t="s">
        <v>358</v>
      </c>
      <c r="E6" s="98"/>
      <c r="F6" s="98"/>
      <c r="G6" s="98"/>
      <c r="H6" s="98"/>
      <c r="I6" s="40" t="str">
        <f>IF(E6=Equations!$T$2,"Meet",IF('8) Process Pond_Res. Criteria'!E6=Equations!$T$3,IF('8) Process Pond_Res. Criteria'!F6=Equations!$T$3,IF('8) Process Pond_Res. Criteria'!G6=Equations!$T$3,IF('8) Process Pond_Res. Criteria'!H6=Equations!$T$3,"Meet","Inadequate"),"Inadequate"),"Inadequate"),"Inadequate"))</f>
        <v>Inadequate</v>
      </c>
      <c r="J6" s="43"/>
    </row>
    <row r="7" spans="2:10" s="44" customFormat="1" ht="34.950000000000003" customHeight="1" thickBot="1" x14ac:dyDescent="0.35">
      <c r="B7" s="42"/>
      <c r="C7" s="48" t="s">
        <v>157</v>
      </c>
      <c r="D7" s="130" t="s">
        <v>359</v>
      </c>
      <c r="E7" s="98"/>
      <c r="F7" s="98"/>
      <c r="G7" s="98"/>
      <c r="H7" s="98"/>
      <c r="I7" s="40" t="str">
        <f>IF(E7=Equations!$T$2,"Meet",IF('8) Process Pond_Res. Criteria'!E7=Equations!$T$3,IF('8) Process Pond_Res. Criteria'!F7=Equations!$T$3,IF('8) Process Pond_Res. Criteria'!G7=Equations!$T$3,IF('8) Process Pond_Res. Criteria'!H7=Equations!$T$3,"Meet","Inadequate"),"Inadequate"),"Inadequate"),"Inadequate"))</f>
        <v>Inadequate</v>
      </c>
      <c r="J7" s="43"/>
    </row>
    <row r="8" spans="2:10" s="44" customFormat="1" ht="55.2" customHeight="1" thickBot="1" x14ac:dyDescent="0.35">
      <c r="B8" s="42"/>
      <c r="C8" s="48" t="s">
        <v>158</v>
      </c>
      <c r="D8" s="130" t="s">
        <v>360</v>
      </c>
      <c r="E8" s="98"/>
      <c r="F8" s="98"/>
      <c r="G8" s="98"/>
      <c r="H8" s="98"/>
      <c r="I8" s="40" t="str">
        <f>IF(E8=Equations!$T$2,"Meet",IF('8) Process Pond_Res. Criteria'!E8=Equations!$T$3,IF('8) Process Pond_Res. Criteria'!F8=Equations!$T$3,IF('8) Process Pond_Res. Criteria'!G8=Equations!$T$3,IF('8) Process Pond_Res. Criteria'!H8=Equations!$T$3,"Meet","Inadequate"),"Inadequate"),"Inadequate"),"Inadequate"))</f>
        <v>Inadequate</v>
      </c>
      <c r="J8" s="43"/>
    </row>
    <row r="9" spans="2:10" s="152" customFormat="1" ht="21" x14ac:dyDescent="0.3">
      <c r="B9" s="148"/>
      <c r="C9" s="149"/>
      <c r="D9" s="149"/>
      <c r="E9" s="150"/>
      <c r="F9" s="150"/>
      <c r="G9" s="150"/>
      <c r="H9" s="146" t="s">
        <v>327</v>
      </c>
      <c r="I9" s="147" t="str">
        <f>IF(COUNTIF(I5:I8,"Meet")=4,"Yes","No")</f>
        <v>No</v>
      </c>
      <c r="J9" s="151"/>
    </row>
    <row r="10" spans="2:10" ht="15.6" thickBot="1" x14ac:dyDescent="0.3">
      <c r="B10" s="8"/>
      <c r="C10" s="30"/>
      <c r="D10" s="30"/>
      <c r="E10" s="9"/>
      <c r="F10" s="9"/>
      <c r="G10" s="9"/>
      <c r="H10" s="9"/>
      <c r="I10" s="9"/>
      <c r="J10" s="10"/>
    </row>
    <row r="11" spans="2:10" x14ac:dyDescent="0.25"/>
  </sheetData>
  <sheetProtection algorithmName="SHA-512" hashValue="JlhcR7y7bDCUMmMIrcsok9bjy0FmWbpsPRGGmBy82HggPHYblWOOJLYfh9PNMlw3QfavuXtEpXvVyoAauXUs3g==" saltValue="hQUBAcVYWn9Bxm9k5ykgtg==" spinCount="100000" sheet="1" selectLockedCells="1"/>
  <mergeCells count="6">
    <mergeCell ref="H3:H4"/>
    <mergeCell ref="I3:I4"/>
    <mergeCell ref="C3:C4"/>
    <mergeCell ref="E3:E4"/>
    <mergeCell ref="F3:F4"/>
    <mergeCell ref="G3:G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75" zoomScaleNormal="75" workbookViewId="0">
      <pane xSplit="4" ySplit="4" topLeftCell="E5" activePane="bottomRight" state="frozen"/>
      <selection pane="topRight" activeCell="E1" sqref="E1"/>
      <selection pane="bottomLeft" activeCell="A5" sqref="A5"/>
      <selection pane="bottomRight" activeCell="H11" sqref="H11"/>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159</v>
      </c>
      <c r="D3" s="110"/>
      <c r="E3" s="202" t="s">
        <v>370</v>
      </c>
      <c r="F3" s="202" t="s">
        <v>313</v>
      </c>
      <c r="G3" s="202" t="s">
        <v>320</v>
      </c>
      <c r="H3" s="202" t="s">
        <v>419</v>
      </c>
      <c r="I3" s="202" t="s">
        <v>129</v>
      </c>
      <c r="J3" s="43"/>
    </row>
    <row r="4" spans="2:10" s="47" customFormat="1" ht="114.6" customHeight="1" thickBot="1" x14ac:dyDescent="0.35">
      <c r="B4" s="45"/>
      <c r="C4" s="208"/>
      <c r="D4" s="153" t="s">
        <v>302</v>
      </c>
      <c r="E4" s="206"/>
      <c r="F4" s="206"/>
      <c r="G4" s="206"/>
      <c r="H4" s="206"/>
      <c r="I4" s="203"/>
      <c r="J4" s="46"/>
    </row>
    <row r="5" spans="2:10" s="44" customFormat="1" ht="34.200000000000003" customHeight="1" thickBot="1" x14ac:dyDescent="0.35">
      <c r="B5" s="42"/>
      <c r="C5" s="48" t="s">
        <v>139</v>
      </c>
      <c r="D5" s="130" t="s">
        <v>362</v>
      </c>
      <c r="E5" s="98"/>
      <c r="F5" s="98"/>
      <c r="G5" s="98"/>
      <c r="H5" s="98"/>
      <c r="I5" s="40" t="str">
        <f>IF(E5=Equations!$T$2,"Meet",IF('9) Slag Pile Criteria'!E5=Equations!$T$3,IF('9) Slag Pile Criteria'!F5=Equations!$T$3,IF('9) Slag Pile Criteria'!G5=Equations!$T$3,IF('9) Slag Pile Criteria'!H5=Equations!$T$3,"Meet","Inadequate"),"Inadequate"),"Inadequate"),"Inadequate"))</f>
        <v>Inadequate</v>
      </c>
      <c r="J5" s="43"/>
    </row>
    <row r="6" spans="2:10" s="44" customFormat="1" ht="37.200000000000003" customHeight="1" thickBot="1" x14ac:dyDescent="0.35">
      <c r="B6" s="42"/>
      <c r="C6" s="48" t="s">
        <v>160</v>
      </c>
      <c r="D6" s="130" t="s">
        <v>363</v>
      </c>
      <c r="E6" s="98"/>
      <c r="F6" s="98"/>
      <c r="G6" s="98"/>
      <c r="H6" s="98"/>
      <c r="I6" s="40" t="str">
        <f>IF(E6=Equations!$T$2,"Meet",IF('9) Slag Pile Criteria'!E6=Equations!$T$3,IF('9) Slag Pile Criteria'!F6=Equations!$T$3,IF('9) Slag Pile Criteria'!G6=Equations!$T$3,IF('9) Slag Pile Criteria'!H6=Equations!$T$3,"Meet","Inadequate"),"Inadequate"),"Inadequate"),"Inadequate"))</f>
        <v>Inadequate</v>
      </c>
      <c r="J6" s="43"/>
    </row>
    <row r="7" spans="2:10" s="44" customFormat="1" ht="34.950000000000003" customHeight="1" thickBot="1" x14ac:dyDescent="0.35">
      <c r="B7" s="42"/>
      <c r="C7" s="48" t="s">
        <v>161</v>
      </c>
      <c r="D7" s="130" t="s">
        <v>364</v>
      </c>
      <c r="E7" s="98"/>
      <c r="F7" s="98"/>
      <c r="G7" s="98"/>
      <c r="H7" s="98"/>
      <c r="I7" s="40" t="str">
        <f>IF(E7=Equations!$T$2,"Meet",IF('9) Slag Pile Criteria'!E7=Equations!$T$3,IF('9) Slag Pile Criteria'!F7=Equations!$T$3,IF('9) Slag Pile Criteria'!G7=Equations!$T$3,IF('9) Slag Pile Criteria'!H7=Equations!$T$3,"Meet","Inadequate"),"Inadequate"),"Inadequate"),"Inadequate"))</f>
        <v>Inadequate</v>
      </c>
      <c r="J7" s="43"/>
    </row>
    <row r="8" spans="2:10" s="44" customFormat="1" ht="117" customHeight="1" thickBot="1" x14ac:dyDescent="0.35">
      <c r="B8" s="42"/>
      <c r="C8" s="48" t="s">
        <v>147</v>
      </c>
      <c r="D8" s="130" t="s">
        <v>365</v>
      </c>
      <c r="E8" s="98"/>
      <c r="F8" s="98"/>
      <c r="G8" s="98"/>
      <c r="H8" s="98"/>
      <c r="I8" s="40" t="str">
        <f>IF(E8=Equations!$T$2,"Meet",IF('9) Slag Pile Criteria'!E8=Equations!$T$3,IF('9) Slag Pile Criteria'!F8=Equations!$T$3,IF('9) Slag Pile Criteria'!G8=Equations!$T$3,IF('9) Slag Pile Criteria'!H8=Equations!$T$3,"Meet","Inadequate"),"Inadequate"),"Inadequate"),"Inadequate"))</f>
        <v>Inadequate</v>
      </c>
      <c r="J8" s="43"/>
    </row>
    <row r="9" spans="2:10" s="44" customFormat="1" ht="39.6" customHeight="1" thickBot="1" x14ac:dyDescent="0.35">
      <c r="B9" s="42"/>
      <c r="C9" s="48" t="s">
        <v>162</v>
      </c>
      <c r="D9" s="130" t="s">
        <v>366</v>
      </c>
      <c r="E9" s="98"/>
      <c r="F9" s="98"/>
      <c r="G9" s="98"/>
      <c r="H9" s="98"/>
      <c r="I9" s="40" t="str">
        <f>IF(E9=Equations!$T$2,"Meet",IF('9) Slag Pile Criteria'!E9=Equations!$T$3,IF('9) Slag Pile Criteria'!F9=Equations!$T$3,IF('9) Slag Pile Criteria'!G9=Equations!$T$3,IF('9) Slag Pile Criteria'!H9=Equations!$T$3,"Meet","Inadequate"),"Inadequate"),"Inadequate"),"Inadequate"))</f>
        <v>Inadequate</v>
      </c>
      <c r="J9" s="43"/>
    </row>
    <row r="10" spans="2:10" s="44" customFormat="1" ht="81.599999999999994" customHeight="1" thickBot="1" x14ac:dyDescent="0.35">
      <c r="B10" s="42"/>
      <c r="C10" s="48" t="s">
        <v>143</v>
      </c>
      <c r="D10" s="130" t="s">
        <v>367</v>
      </c>
      <c r="E10" s="98"/>
      <c r="F10" s="98"/>
      <c r="G10" s="98"/>
      <c r="H10" s="98"/>
      <c r="I10" s="40" t="str">
        <f>IF(E10=Equations!$T$2,"Meet",IF('9) Slag Pile Criteria'!E10=Equations!$T$3,IF('9) Slag Pile Criteria'!F10=Equations!$T$3,IF('9) Slag Pile Criteria'!G10=Equations!$T$3,IF('9) Slag Pile Criteria'!H10=Equations!$T$3,"Meet","Inadequate"),"Inadequate"),"Inadequate"),"Inadequate"))</f>
        <v>Inadequate</v>
      </c>
      <c r="J10" s="43"/>
    </row>
    <row r="11" spans="2:10" s="44" customFormat="1" ht="98.4" customHeight="1" thickBot="1" x14ac:dyDescent="0.35">
      <c r="B11" s="42"/>
      <c r="C11" s="48" t="s">
        <v>149</v>
      </c>
      <c r="D11" s="130" t="s">
        <v>368</v>
      </c>
      <c r="E11" s="98"/>
      <c r="F11" s="98"/>
      <c r="G11" s="98"/>
      <c r="H11" s="98"/>
      <c r="I11" s="40" t="str">
        <f>IF(E11=Equations!$T$2,"Meet",IF('9) Slag Pile Criteria'!E11=Equations!$T$3,IF('9) Slag Pile Criteria'!F11=Equations!$T$3,IF('9) Slag Pile Criteria'!G11=Equations!$T$3,IF('9) Slag Pile Criteria'!H11=Equations!$T$3,"Meet","Inadequate"),"Inadequate"),"Inadequate"),"Inadequate"))</f>
        <v>Inadequate</v>
      </c>
      <c r="J11" s="43"/>
    </row>
    <row r="12" spans="2:10" s="44" customFormat="1" ht="176.4" customHeight="1" thickBot="1" x14ac:dyDescent="0.35">
      <c r="B12" s="42"/>
      <c r="C12" s="48" t="s">
        <v>145</v>
      </c>
      <c r="D12" s="130" t="s">
        <v>369</v>
      </c>
      <c r="E12" s="98"/>
      <c r="F12" s="98"/>
      <c r="G12" s="98"/>
      <c r="H12" s="98"/>
      <c r="I12" s="40" t="str">
        <f>IF(E12=Equations!$T$2,"Meet",IF('9) Slag Pile Criteria'!E12=Equations!$T$3,IF('9) Slag Pile Criteria'!F12=Equations!$T$3,IF('9) Slag Pile Criteria'!G12=Equations!$T$3,IF('9) Slag Pile Criteria'!H12=Equations!$T$3,"Meet","Inadequate"),"Inadequate"),"Inadequate"),"Inadequate"))</f>
        <v>Inadequate</v>
      </c>
      <c r="J12" s="43"/>
    </row>
    <row r="13" spans="2:10" s="152" customFormat="1" ht="21" x14ac:dyDescent="0.3">
      <c r="B13" s="148"/>
      <c r="C13" s="149"/>
      <c r="D13" s="149"/>
      <c r="E13" s="150"/>
      <c r="F13" s="150"/>
      <c r="G13" s="150"/>
      <c r="H13" s="146" t="s">
        <v>327</v>
      </c>
      <c r="I13" s="147" t="str">
        <f>IF(COUNTIF(I5:I12,"Meet")=8,"Yes","No")</f>
        <v>No</v>
      </c>
      <c r="J13" s="151"/>
    </row>
    <row r="14" spans="2:10" ht="15.6" thickBot="1" x14ac:dyDescent="0.3">
      <c r="B14" s="8"/>
      <c r="C14" s="30"/>
      <c r="D14" s="30"/>
      <c r="E14" s="9"/>
      <c r="F14" s="9"/>
      <c r="G14" s="9"/>
      <c r="H14" s="9"/>
      <c r="I14" s="9"/>
      <c r="J14" s="10"/>
    </row>
    <row r="15" spans="2:10" x14ac:dyDescent="0.25"/>
  </sheetData>
  <sheetProtection algorithmName="SHA-512" hashValue="/eO94Chbu36Q9Jk0gOOrdQLMlNazq+E/qk48BPQBuRKIR3DYJCQVnErR3MEG2LPEbu+Y325vWlA4MOKfRbQTBA==" saltValue="QYOzMLRcAfGu0JVw95VGmg=="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5" zoomScaleNormal="75" workbookViewId="0">
      <pane xSplit="4" ySplit="4" topLeftCell="E5" activePane="bottomRight" state="frozen"/>
      <selection pane="topRight" activeCell="E1" sqref="E1"/>
      <selection pane="bottomLeft" activeCell="A5" sqref="A5"/>
      <selection pane="bottomRight" activeCell="H6" sqref="H6"/>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207</v>
      </c>
      <c r="D3" s="110"/>
      <c r="E3" s="202" t="s">
        <v>371</v>
      </c>
      <c r="F3" s="202" t="s">
        <v>313</v>
      </c>
      <c r="G3" s="202" t="s">
        <v>320</v>
      </c>
      <c r="H3" s="202" t="s">
        <v>420</v>
      </c>
      <c r="I3" s="202" t="s">
        <v>129</v>
      </c>
      <c r="J3" s="43"/>
    </row>
    <row r="4" spans="2:10" s="47" customFormat="1" ht="109.95" customHeight="1" thickBot="1" x14ac:dyDescent="0.35">
      <c r="B4" s="45"/>
      <c r="C4" s="208"/>
      <c r="D4" s="153" t="s">
        <v>302</v>
      </c>
      <c r="E4" s="206"/>
      <c r="F4" s="206"/>
      <c r="G4" s="206"/>
      <c r="H4" s="206"/>
      <c r="I4" s="203"/>
      <c r="J4" s="46"/>
    </row>
    <row r="5" spans="2:10" s="44" customFormat="1" ht="54" customHeight="1" thickBot="1" x14ac:dyDescent="0.35">
      <c r="B5" s="42"/>
      <c r="C5" s="48" t="s">
        <v>163</v>
      </c>
      <c r="D5" s="130" t="s">
        <v>372</v>
      </c>
      <c r="E5" s="98"/>
      <c r="F5" s="98"/>
      <c r="G5" s="98"/>
      <c r="H5" s="98"/>
      <c r="I5" s="58" t="str">
        <f>IF(E5=Equations!$T$2,"Meet",IF('10) Waste Disposal Criteria'!E5=Equations!$T$3,IF('10) Waste Disposal Criteria'!F5=Equations!$T$3,IF('10) Waste Disposal Criteria'!G5=Equations!$T$3,IF('10) Waste Disposal Criteria'!H5=Equations!$T$3,"Meet","Inadequate"),"Inadequate"),"Inadequate"),"Inadequate"))</f>
        <v>Inadequate</v>
      </c>
      <c r="J5" s="43"/>
    </row>
    <row r="6" spans="2:10" s="44" customFormat="1" ht="54" customHeight="1" thickBot="1" x14ac:dyDescent="0.35">
      <c r="B6" s="42"/>
      <c r="C6" s="48" t="s">
        <v>164</v>
      </c>
      <c r="D6" s="130" t="s">
        <v>373</v>
      </c>
      <c r="E6" s="98"/>
      <c r="F6" s="98"/>
      <c r="G6" s="98"/>
      <c r="H6" s="98"/>
      <c r="I6" s="58" t="str">
        <f>IF(E6=Equations!$T$2,"Meet",IF('10) Waste Disposal Criteria'!E6=Equations!$T$3,IF('10) Waste Disposal Criteria'!F6=Equations!$T$3,IF('10) Waste Disposal Criteria'!G6=Equations!$T$3,IF('10) Waste Disposal Criteria'!H6=Equations!$T$3,"Meet","Inadequate"),"Inadequate"),"Inadequate"),"Inadequate"))</f>
        <v>Inadequate</v>
      </c>
      <c r="J6" s="43"/>
    </row>
    <row r="7" spans="2:10" s="44" customFormat="1" ht="34.950000000000003" customHeight="1" thickBot="1" x14ac:dyDescent="0.35">
      <c r="B7" s="42"/>
      <c r="C7" s="48" t="s">
        <v>165</v>
      </c>
      <c r="D7" s="130" t="s">
        <v>374</v>
      </c>
      <c r="E7" s="98"/>
      <c r="F7" s="98"/>
      <c r="G7" s="98"/>
      <c r="H7" s="98"/>
      <c r="I7" s="58" t="str">
        <f>IF(E7=Equations!$T$2,"Meet",IF('10) Waste Disposal Criteria'!E7=Equations!$T$3,IF('10) Waste Disposal Criteria'!F7=Equations!$T$3,IF('10) Waste Disposal Criteria'!G7=Equations!$T$3,IF('10) Waste Disposal Criteria'!H7=Equations!$T$3,"Meet","Inadequate"),"Inadequate"),"Inadequate"),"Inadequate"))</f>
        <v>Inadequate</v>
      </c>
      <c r="J7" s="43"/>
    </row>
    <row r="8" spans="2:10" s="152" customFormat="1" ht="21" x14ac:dyDescent="0.3">
      <c r="B8" s="148"/>
      <c r="C8" s="149"/>
      <c r="D8" s="149"/>
      <c r="E8" s="150"/>
      <c r="F8" s="150"/>
      <c r="G8" s="150"/>
      <c r="H8" s="146" t="s">
        <v>327</v>
      </c>
      <c r="I8" s="147" t="str">
        <f>IF(COUNTIF(I5:I7,"Meet")=3,"Yes","No")</f>
        <v>No</v>
      </c>
      <c r="J8" s="151"/>
    </row>
    <row r="9" spans="2:10" ht="15.6" thickBot="1" x14ac:dyDescent="0.3">
      <c r="B9" s="8"/>
      <c r="C9" s="30"/>
      <c r="D9" s="30"/>
      <c r="E9" s="9"/>
      <c r="F9" s="9"/>
      <c r="G9" s="9"/>
      <c r="H9" s="9"/>
      <c r="I9" s="9"/>
      <c r="J9" s="10"/>
    </row>
    <row r="10" spans="2:10" x14ac:dyDescent="0.25"/>
  </sheetData>
  <sheetProtection algorithmName="SHA-512" hashValue="4HzcFO/UCjfNYDUOTJTNpQKbO10SRjkTqM+kgrWnhE1UPEEpnBrPrUD6XBKGLv1OR37zYSeLUtP9LRlzCk+6TA==" saltValue="yAzaMgh+wKVkHh+tUhvyxw=="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zoomScaleNormal="75" workbookViewId="0">
      <pane xSplit="4" ySplit="4" topLeftCell="E5" activePane="bottomRight" state="frozen"/>
      <selection pane="topRight" activeCell="E1" sqref="E1"/>
      <selection pane="bottomLeft" activeCell="A5" sqref="A5"/>
      <selection pane="bottomRight" activeCell="E5" sqref="E5"/>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13" t="s">
        <v>166</v>
      </c>
      <c r="D3" s="137"/>
      <c r="E3" s="202" t="s">
        <v>376</v>
      </c>
      <c r="F3" s="202" t="s">
        <v>313</v>
      </c>
      <c r="G3" s="202" t="s">
        <v>320</v>
      </c>
      <c r="H3" s="202" t="s">
        <v>421</v>
      </c>
      <c r="I3" s="202" t="s">
        <v>129</v>
      </c>
      <c r="J3" s="43"/>
    </row>
    <row r="4" spans="2:10" s="47" customFormat="1" ht="107.4" customHeight="1" thickBot="1" x14ac:dyDescent="0.35">
      <c r="B4" s="45"/>
      <c r="C4" s="214"/>
      <c r="D4" s="153" t="s">
        <v>302</v>
      </c>
      <c r="E4" s="206"/>
      <c r="F4" s="206"/>
      <c r="G4" s="206"/>
      <c r="H4" s="206"/>
      <c r="I4" s="203"/>
      <c r="J4" s="46"/>
    </row>
    <row r="5" spans="2:10" s="44" customFormat="1" ht="54" customHeight="1" thickBot="1" x14ac:dyDescent="0.35">
      <c r="B5" s="42"/>
      <c r="C5" s="48" t="s">
        <v>167</v>
      </c>
      <c r="D5" s="130" t="s">
        <v>375</v>
      </c>
      <c r="E5" s="98"/>
      <c r="F5" s="98"/>
      <c r="G5" s="98"/>
      <c r="H5" s="98"/>
      <c r="I5" s="58" t="str">
        <f>IF(E5=Equations!$T$2,"Meet",IF('11) Drainage Criteria'!E5=Equations!$T$3,IF('11) Drainage Criteria'!F5=Equations!$T$3,IF('11) Drainage Criteria'!G5=Equations!$T$3,IF('11) Drainage Criteria'!H5=Equations!$T$3,"Meet","Inadequate"),"Inadequate"),"Inadequate"),"Inadequate"))</f>
        <v>Inadequate</v>
      </c>
      <c r="J5" s="43"/>
    </row>
    <row r="6" spans="2:10" s="152" customFormat="1" ht="21" x14ac:dyDescent="0.3">
      <c r="B6" s="148"/>
      <c r="C6" s="149"/>
      <c r="D6" s="149"/>
      <c r="E6" s="150"/>
      <c r="F6" s="150"/>
      <c r="G6" s="150"/>
      <c r="H6" s="146" t="s">
        <v>327</v>
      </c>
      <c r="I6" s="147" t="str">
        <f>IF(COUNTIF(I5,"Meet")=1,"Yes","No")</f>
        <v>No</v>
      </c>
      <c r="J6" s="151"/>
    </row>
    <row r="7" spans="2:10" ht="15.6" thickBot="1" x14ac:dyDescent="0.3">
      <c r="B7" s="8"/>
      <c r="C7" s="30"/>
      <c r="D7" s="30"/>
      <c r="E7" s="9"/>
      <c r="F7" s="9"/>
      <c r="G7" s="9"/>
      <c r="H7" s="9"/>
      <c r="I7" s="9"/>
      <c r="J7" s="10"/>
    </row>
    <row r="8" spans="2:10" x14ac:dyDescent="0.25"/>
  </sheetData>
  <sheetProtection algorithmName="SHA-512" hashValue="eQFoCMLxpI2VBtW3/UY5p4ytDzfpTLI3nZJC47vSFHfO9MKVqtV5F5RramF+u3OPnKC4kv46ZUnu4ac33leKfA==" saltValue="1tP7VwSl0akuhAEv4L0gMw=="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5" zoomScaleNormal="75" workbookViewId="0">
      <pane xSplit="4" ySplit="4" topLeftCell="E5" activePane="bottomRight" state="frozen"/>
      <selection pane="topRight" activeCell="E1" sqref="E1"/>
      <selection pane="bottomLeft" activeCell="A5" sqref="A5"/>
      <selection pane="bottomRight" activeCell="H5" sqref="H5"/>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168</v>
      </c>
      <c r="D3" s="110"/>
      <c r="E3" s="202" t="s">
        <v>377</v>
      </c>
      <c r="F3" s="202" t="s">
        <v>313</v>
      </c>
      <c r="G3" s="202" t="s">
        <v>320</v>
      </c>
      <c r="H3" s="202" t="s">
        <v>423</v>
      </c>
      <c r="I3" s="202" t="s">
        <v>129</v>
      </c>
      <c r="J3" s="43"/>
    </row>
    <row r="4" spans="2:10" s="47" customFormat="1" ht="114.6" customHeight="1" thickBot="1" x14ac:dyDescent="0.35">
      <c r="B4" s="45"/>
      <c r="C4" s="208"/>
      <c r="D4" s="153" t="s">
        <v>302</v>
      </c>
      <c r="E4" s="206"/>
      <c r="F4" s="206"/>
      <c r="G4" s="206"/>
      <c r="H4" s="206"/>
      <c r="I4" s="203"/>
      <c r="J4" s="46"/>
    </row>
    <row r="5" spans="2:10" s="44" customFormat="1" ht="102" customHeight="1" thickBot="1" x14ac:dyDescent="0.35">
      <c r="B5" s="42"/>
      <c r="C5" s="48" t="s">
        <v>169</v>
      </c>
      <c r="D5" s="130" t="s">
        <v>388</v>
      </c>
      <c r="E5" s="98"/>
      <c r="F5" s="98"/>
      <c r="G5" s="98"/>
      <c r="H5" s="98"/>
      <c r="I5" s="58" t="str">
        <f>IF(E5=Equations!$T$2,"Meet",IF('12) Short-Term O&amp;M Criteria'!E5=Equations!$T$3,IF('12) Short-Term O&amp;M Criteria'!F5=Equations!$T$3,IF('12) Short-Term O&amp;M Criteria'!G5=Equations!$T$3,IF('12) Short-Term O&amp;M Criteria'!H5=Equations!$T$3,"Meet","Inadequate"),"Inadequate"),"Inadequate"),"Inadequate"))</f>
        <v>Inadequate</v>
      </c>
      <c r="J5" s="43"/>
    </row>
    <row r="6" spans="2:10" s="44" customFormat="1" ht="36.6" customHeight="1" thickBot="1" x14ac:dyDescent="0.35">
      <c r="B6" s="42"/>
      <c r="C6" s="48" t="s">
        <v>177</v>
      </c>
      <c r="D6" s="130" t="s">
        <v>389</v>
      </c>
      <c r="E6" s="98"/>
      <c r="F6" s="98"/>
      <c r="G6" s="98"/>
      <c r="H6" s="98"/>
      <c r="I6" s="58" t="str">
        <f>IF(E6=Equations!$T$2,"Meet",IF('12) Short-Term O&amp;M Criteria'!E6=Equations!$T$3,IF('12) Short-Term O&amp;M Criteria'!F6=Equations!$T$3,IF('12) Short-Term O&amp;M Criteria'!G6=Equations!$T$3,IF('12) Short-Term O&amp;M Criteria'!H6=Equations!$T$3,"Meet","Inadequate"),"Inadequate"),"Inadequate"),"Inadequate"))</f>
        <v>Inadequate</v>
      </c>
      <c r="J6" s="43"/>
    </row>
    <row r="7" spans="2:10" s="44" customFormat="1" ht="54" customHeight="1" thickBot="1" x14ac:dyDescent="0.35">
      <c r="B7" s="42"/>
      <c r="C7" s="48" t="s">
        <v>170</v>
      </c>
      <c r="D7" s="130" t="s">
        <v>390</v>
      </c>
      <c r="E7" s="98"/>
      <c r="F7" s="98"/>
      <c r="G7" s="98"/>
      <c r="H7" s="98"/>
      <c r="I7" s="58" t="str">
        <f>IF(E7=Equations!$T$2,"Meet",IF('12) Short-Term O&amp;M Criteria'!E7=Equations!$T$3,IF('12) Short-Term O&amp;M Criteria'!F7=Equations!$T$3,IF('12) Short-Term O&amp;M Criteria'!G7=Equations!$T$3,IF('12) Short-Term O&amp;M Criteria'!H7=Equations!$T$3,"Meet","Inadequate"),"Inadequate"),"Inadequate"),"Inadequate"))</f>
        <v>Inadequate</v>
      </c>
      <c r="J7" s="43"/>
    </row>
    <row r="8" spans="2:10" s="152" customFormat="1" ht="21" x14ac:dyDescent="0.3">
      <c r="B8" s="148"/>
      <c r="C8" s="149"/>
      <c r="D8" s="149"/>
      <c r="E8" s="150"/>
      <c r="F8" s="150"/>
      <c r="G8" s="150"/>
      <c r="H8" s="146" t="s">
        <v>327</v>
      </c>
      <c r="I8" s="147" t="str">
        <f>IF(COUNTIF(I5:I7,"Meet")=3,"Yes","No")</f>
        <v>No</v>
      </c>
      <c r="J8" s="151"/>
    </row>
    <row r="9" spans="2:10" ht="15.6" thickBot="1" x14ac:dyDescent="0.3">
      <c r="B9" s="8"/>
      <c r="C9" s="30"/>
      <c r="D9" s="30"/>
      <c r="E9" s="9"/>
      <c r="F9" s="9"/>
      <c r="G9" s="9"/>
      <c r="H9" s="9"/>
      <c r="I9" s="9"/>
      <c r="J9" s="10"/>
    </row>
    <row r="10" spans="2:10" x14ac:dyDescent="0.25"/>
  </sheetData>
  <sheetProtection algorithmName="SHA-512" hashValue="coTHj1O104w4cmZJyglXNWea/IelsFMUquJ/OG7+Rqtb75+gyK90H88wCuS2Mt2Xlmp8batWpKGSDHrZ2q85sA==" saltValue="rLT8FIGf9WUqDAz7gctYcA==" spinCount="100000" sheet="1" selectLockedCells="1"/>
  <mergeCells count="6">
    <mergeCell ref="H3:H4"/>
    <mergeCell ref="I3:I4"/>
    <mergeCell ref="C3:C4"/>
    <mergeCell ref="E3:E4"/>
    <mergeCell ref="F3:F4"/>
    <mergeCell ref="G3:G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75" zoomScaleNormal="75" workbookViewId="0">
      <pane xSplit="4" ySplit="4" topLeftCell="E5" activePane="bottomRight" state="frozen"/>
      <selection pane="topRight" activeCell="E1" sqref="E1"/>
      <selection pane="bottomLeft" activeCell="A5" sqref="A5"/>
      <selection pane="bottomRight" activeCell="E5" sqref="E5"/>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171</v>
      </c>
      <c r="D3" s="110"/>
      <c r="E3" s="202" t="s">
        <v>380</v>
      </c>
      <c r="F3" s="202" t="s">
        <v>313</v>
      </c>
      <c r="G3" s="202" t="s">
        <v>320</v>
      </c>
      <c r="H3" s="202" t="s">
        <v>381</v>
      </c>
      <c r="I3" s="202" t="s">
        <v>129</v>
      </c>
      <c r="J3" s="43"/>
    </row>
    <row r="4" spans="2:10" s="47" customFormat="1" ht="112.95" customHeight="1" thickBot="1" x14ac:dyDescent="0.35">
      <c r="B4" s="45"/>
      <c r="C4" s="208"/>
      <c r="D4" s="153" t="s">
        <v>302</v>
      </c>
      <c r="E4" s="206"/>
      <c r="F4" s="206"/>
      <c r="G4" s="206"/>
      <c r="H4" s="206"/>
      <c r="I4" s="203"/>
      <c r="J4" s="46"/>
    </row>
    <row r="5" spans="2:10" s="44" customFormat="1" ht="102" customHeight="1" thickBot="1" x14ac:dyDescent="0.35">
      <c r="B5" s="42"/>
      <c r="C5" s="48" t="s">
        <v>173</v>
      </c>
      <c r="D5" s="130" t="s">
        <v>378</v>
      </c>
      <c r="E5" s="98"/>
      <c r="F5" s="98"/>
      <c r="G5" s="98"/>
      <c r="H5" s="98"/>
      <c r="I5" s="58" t="str">
        <f>IF(E5=Equations!$T$2,"Meet",IF('13) Interim O&amp;M Criteria'!E5=Equations!$T$3,IF('13) Interim O&amp;M Criteria'!F5=Equations!$T$3,IF('13) Interim O&amp;M Criteria'!G5=Equations!$T$3,IF('13) Interim O&amp;M Criteria'!H5=Equations!$T$3,"Meet","Inadequate"),"Inadequate"),"Inadequate"),"Inadequate"))</f>
        <v>Inadequate</v>
      </c>
      <c r="J5" s="43"/>
    </row>
    <row r="6" spans="2:10" s="44" customFormat="1" ht="179.4" customHeight="1" thickBot="1" x14ac:dyDescent="0.35">
      <c r="B6" s="42"/>
      <c r="C6" s="48" t="s">
        <v>174</v>
      </c>
      <c r="D6" s="130" t="s">
        <v>379</v>
      </c>
      <c r="E6" s="98"/>
      <c r="F6" s="98"/>
      <c r="G6" s="98"/>
      <c r="H6" s="98"/>
      <c r="I6" s="58" t="str">
        <f>IF(E6=Equations!$T$2,"Meet",IF('13) Interim O&amp;M Criteria'!E6=Equations!$T$3,IF('13) Interim O&amp;M Criteria'!F6=Equations!$T$3,IF('13) Interim O&amp;M Criteria'!G6=Equations!$T$3,IF('13) Interim O&amp;M Criteria'!H6=Equations!$T$3,"Meet","Inadequate"),"Inadequate"),"Inadequate"),"Inadequate"))</f>
        <v>Inadequate</v>
      </c>
      <c r="J6" s="43"/>
    </row>
    <row r="7" spans="2:10" s="152" customFormat="1" ht="21" x14ac:dyDescent="0.3">
      <c r="B7" s="148"/>
      <c r="C7" s="149"/>
      <c r="D7" s="149"/>
      <c r="E7" s="150"/>
      <c r="F7" s="150"/>
      <c r="G7" s="150"/>
      <c r="H7" s="146" t="s">
        <v>327</v>
      </c>
      <c r="I7" s="147" t="str">
        <f>IF(COUNTIF(I5:I6,"Meet")=2,"Yes","No")</f>
        <v>No</v>
      </c>
      <c r="J7" s="151"/>
    </row>
    <row r="8" spans="2:10" ht="15.6" thickBot="1" x14ac:dyDescent="0.3">
      <c r="B8" s="8"/>
      <c r="C8" s="30"/>
      <c r="D8" s="30"/>
      <c r="E8" s="9"/>
      <c r="F8" s="9"/>
      <c r="G8" s="9"/>
      <c r="H8" s="9"/>
      <c r="I8" s="9"/>
      <c r="J8" s="10"/>
    </row>
    <row r="9" spans="2:10" x14ac:dyDescent="0.25"/>
  </sheetData>
  <sheetProtection algorithmName="SHA-512" hashValue="HyVJzqWwfiAwp1SRWIQSAyOdsirLA4jVERCjqDgaOcHyowxRHPMNEIqj7xfhlgckNu/Pdukp1AlkQZxzFY8OZQ==" saltValue="3obl3hZSTU7c84N5BaBeHA=="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5" zoomScaleNormal="75" workbookViewId="0">
      <pane xSplit="4" ySplit="4" topLeftCell="E5" activePane="bottomRight" state="frozen"/>
      <selection pane="topRight" activeCell="E1" sqref="E1"/>
      <selection pane="bottomLeft" activeCell="A5" sqref="A5"/>
      <selection pane="bottomRight" activeCell="F5" sqref="F5"/>
    </sheetView>
  </sheetViews>
  <sheetFormatPr defaultColWidth="0" defaultRowHeight="15" zeroHeight="1" x14ac:dyDescent="0.25"/>
  <cols>
    <col min="1" max="2" width="8.88671875" style="1" customWidth="1"/>
    <col min="3" max="3" width="94.5546875" style="27" customWidth="1"/>
    <col min="4" max="4" width="11.33203125" style="27" customWidth="1"/>
    <col min="5" max="8" width="38"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172</v>
      </c>
      <c r="D3" s="110"/>
      <c r="E3" s="202" t="s">
        <v>382</v>
      </c>
      <c r="F3" s="202" t="s">
        <v>313</v>
      </c>
      <c r="G3" s="202" t="s">
        <v>320</v>
      </c>
      <c r="H3" s="202" t="s">
        <v>424</v>
      </c>
      <c r="I3" s="202" t="s">
        <v>129</v>
      </c>
      <c r="J3" s="43"/>
    </row>
    <row r="4" spans="2:10" s="47" customFormat="1" ht="112.95" customHeight="1" thickBot="1" x14ac:dyDescent="0.35">
      <c r="B4" s="45"/>
      <c r="C4" s="208"/>
      <c r="D4" s="153" t="s">
        <v>302</v>
      </c>
      <c r="E4" s="206"/>
      <c r="F4" s="206"/>
      <c r="G4" s="206"/>
      <c r="H4" s="206"/>
      <c r="I4" s="203"/>
      <c r="J4" s="46"/>
    </row>
    <row r="5" spans="2:10" s="44" customFormat="1" ht="102" customHeight="1" thickBot="1" x14ac:dyDescent="0.35">
      <c r="B5" s="42"/>
      <c r="C5" s="48" t="s">
        <v>175</v>
      </c>
      <c r="D5" s="130" t="s">
        <v>383</v>
      </c>
      <c r="E5" s="98"/>
      <c r="F5" s="98"/>
      <c r="G5" s="98"/>
      <c r="H5" s="98"/>
      <c r="I5" s="58" t="str">
        <f>IF(E5=Equations!$T$2,"Meet",IF('14) Long-Term O&amp;M Criteria'!E5=Equations!$T$3,IF('14) Long-Term O&amp;M Criteria'!F5=Equations!$T$3,IF('14) Long-Term O&amp;M Criteria'!G5=Equations!$T$3,IF('14) Long-Term O&amp;M Criteria'!H5=Equations!$T$3,"Meet","Inadequate"),"Inadequate"),"Inadequate"),"Inadequate"))</f>
        <v>Inadequate</v>
      </c>
      <c r="J5" s="43"/>
    </row>
    <row r="6" spans="2:10" s="44" customFormat="1" ht="36.6" customHeight="1" thickBot="1" x14ac:dyDescent="0.35">
      <c r="B6" s="42"/>
      <c r="C6" s="48" t="s">
        <v>176</v>
      </c>
      <c r="D6" s="130" t="s">
        <v>384</v>
      </c>
      <c r="E6" s="98"/>
      <c r="F6" s="98"/>
      <c r="G6" s="98"/>
      <c r="H6" s="98"/>
      <c r="I6" s="58" t="str">
        <f>IF(E6=Equations!$T$2,"Meet",IF('14) Long-Term O&amp;M Criteria'!E6=Equations!$T$3,IF('14) Long-Term O&amp;M Criteria'!F6=Equations!$T$3,IF('14) Long-Term O&amp;M Criteria'!G6=Equations!$T$3,IF('14) Long-Term O&amp;M Criteria'!H6=Equations!$T$3,"Meet","Inadequate"),"Inadequate"),"Inadequate"),"Inadequate"))</f>
        <v>Inadequate</v>
      </c>
      <c r="J6" s="43"/>
    </row>
    <row r="7" spans="2:10" s="44" customFormat="1" ht="54" customHeight="1" thickBot="1" x14ac:dyDescent="0.35">
      <c r="B7" s="42"/>
      <c r="C7" s="48" t="s">
        <v>178</v>
      </c>
      <c r="D7" s="130" t="s">
        <v>385</v>
      </c>
      <c r="E7" s="98"/>
      <c r="F7" s="98"/>
      <c r="G7" s="98"/>
      <c r="H7" s="98"/>
      <c r="I7" s="58" t="str">
        <f>IF(E7=Equations!$T$2,"Meet",IF('14) Long-Term O&amp;M Criteria'!E7=Equations!$T$3,IF('14) Long-Term O&amp;M Criteria'!F7=Equations!$T$3,IF('14) Long-Term O&amp;M Criteria'!G7=Equations!$T$3,IF('14) Long-Term O&amp;M Criteria'!H7=Equations!$T$3,"Meet","Inadequate"),"Inadequate"),"Inadequate"),"Inadequate"))</f>
        <v>Inadequate</v>
      </c>
      <c r="J7" s="43"/>
    </row>
    <row r="8" spans="2:10" s="152" customFormat="1" ht="21" x14ac:dyDescent="0.3">
      <c r="B8" s="148"/>
      <c r="C8" s="149"/>
      <c r="D8" s="149"/>
      <c r="E8" s="150"/>
      <c r="F8" s="150"/>
      <c r="G8" s="150"/>
      <c r="H8" s="146" t="s">
        <v>327</v>
      </c>
      <c r="I8" s="147" t="str">
        <f>IF(COUNTIF(I5:I7,"Meet")=3,"Yes","No")</f>
        <v>No</v>
      </c>
      <c r="J8" s="151"/>
    </row>
    <row r="9" spans="2:10" ht="15.6" thickBot="1" x14ac:dyDescent="0.3">
      <c r="B9" s="8"/>
      <c r="C9" s="30"/>
      <c r="D9" s="30"/>
      <c r="E9" s="9"/>
      <c r="F9" s="9"/>
      <c r="G9" s="9"/>
      <c r="H9" s="9"/>
      <c r="I9" s="9"/>
      <c r="J9" s="10"/>
    </row>
    <row r="10" spans="2:10" x14ac:dyDescent="0.25"/>
  </sheetData>
  <sheetProtection algorithmName="SHA-512" hashValue="bOofHQSpBDf7euPdpEMwiU3IG4FSRCL4g6ZuXS8w0k/to7INsOw6DeFoDr1/lFaycz7Wn5lOv53DDBqN2fagVA==" saltValue="pwdpwZQemiv4GcDbLLbA5g=="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75" zoomScaleNormal="75" workbookViewId="0">
      <pane xSplit="4" ySplit="4" topLeftCell="E5" activePane="bottomRight" state="frozen"/>
      <selection pane="topRight" activeCell="E1" sqref="E1"/>
      <selection pane="bottomLeft" activeCell="A5" sqref="A5"/>
      <selection pane="bottomRight" activeCell="H5" sqref="H5"/>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179</v>
      </c>
      <c r="D3" s="110"/>
      <c r="E3" s="202" t="s">
        <v>391</v>
      </c>
      <c r="F3" s="202" t="s">
        <v>313</v>
      </c>
      <c r="G3" s="202" t="s">
        <v>320</v>
      </c>
      <c r="H3" s="202" t="s">
        <v>425</v>
      </c>
      <c r="I3" s="202" t="s">
        <v>129</v>
      </c>
      <c r="J3" s="43"/>
    </row>
    <row r="4" spans="2:10" s="47" customFormat="1" ht="114.6" customHeight="1" thickBot="1" x14ac:dyDescent="0.35">
      <c r="B4" s="45"/>
      <c r="C4" s="208"/>
      <c r="D4" s="153" t="s">
        <v>302</v>
      </c>
      <c r="E4" s="206"/>
      <c r="F4" s="206"/>
      <c r="G4" s="206"/>
      <c r="H4" s="206"/>
      <c r="I4" s="203"/>
      <c r="J4" s="46"/>
    </row>
    <row r="5" spans="2:10" s="44" customFormat="1" ht="193.2" customHeight="1" thickBot="1" x14ac:dyDescent="0.35">
      <c r="B5" s="42"/>
      <c r="C5" s="48" t="s">
        <v>180</v>
      </c>
      <c r="D5" s="130" t="s">
        <v>386</v>
      </c>
      <c r="E5" s="98"/>
      <c r="F5" s="98"/>
      <c r="G5" s="98"/>
      <c r="H5" s="98"/>
      <c r="I5" s="58" t="str">
        <f>IF(E5=Equations!$T$2,"Meet",IF('15) Water Treatment Criteria'!E5=Equations!$T$3,IF('15) Water Treatment Criteria'!F5=Equations!$T$3,IF('15) Water Treatment Criteria'!G5=Equations!$T$3,IF('15) Water Treatment Criteria'!H5=Equations!$T$3,"Meet","Inadequate"),"Inadequate"),"Inadequate"),"Inadequate"))</f>
        <v>Inadequate</v>
      </c>
      <c r="J5" s="43"/>
    </row>
    <row r="6" spans="2:10" s="44" customFormat="1" ht="52.2" customHeight="1" thickBot="1" x14ac:dyDescent="0.35">
      <c r="B6" s="42"/>
      <c r="C6" s="48" t="s">
        <v>181</v>
      </c>
      <c r="D6" s="130" t="s">
        <v>387</v>
      </c>
      <c r="E6" s="98"/>
      <c r="F6" s="98"/>
      <c r="G6" s="98"/>
      <c r="H6" s="98"/>
      <c r="I6" s="58" t="str">
        <f>IF(E6=Equations!$T$2,"Meet",IF('15) Water Treatment Criteria'!E6=Equations!$T$3,IF('15) Water Treatment Criteria'!F6=Equations!$T$3,IF('15) Water Treatment Criteria'!G6=Equations!$T$3,IF('15) Water Treatment Criteria'!H6=Equations!$T$3,"Meet","Inadequate"),"Inadequate"),"Inadequate"),"Inadequate"))</f>
        <v>Inadequate</v>
      </c>
      <c r="J6" s="43"/>
    </row>
    <row r="7" spans="2:10" s="152" customFormat="1" ht="21" x14ac:dyDescent="0.3">
      <c r="B7" s="148"/>
      <c r="C7" s="149"/>
      <c r="D7" s="149"/>
      <c r="E7" s="150"/>
      <c r="F7" s="150"/>
      <c r="G7" s="150"/>
      <c r="H7" s="146" t="s">
        <v>327</v>
      </c>
      <c r="I7" s="147" t="str">
        <f>IF(COUNTIF(I5:I6,"Meet")=2,"Yes","No")</f>
        <v>No</v>
      </c>
      <c r="J7" s="151"/>
    </row>
    <row r="8" spans="2:10" ht="15.6" thickBot="1" x14ac:dyDescent="0.3">
      <c r="B8" s="8"/>
      <c r="C8" s="30"/>
      <c r="D8" s="30"/>
      <c r="E8" s="9"/>
      <c r="F8" s="9"/>
      <c r="G8" s="9"/>
      <c r="H8" s="9"/>
      <c r="I8" s="9"/>
      <c r="J8" s="10"/>
    </row>
    <row r="9" spans="2:10" x14ac:dyDescent="0.25"/>
  </sheetData>
  <sheetProtection algorithmName="SHA-512" hashValue="UO8JLSQFGWTd0RpmYwbnie5KN+OMzyth3gzV2iHdfH3j3fuHkYwtKXEKZP+RUQhmD+oQnJIM23qSxaejZXqLSA==" saltValue="CVETW4B9oMDkI5b+N8cTLw=="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80" zoomScaleNormal="80" workbookViewId="0">
      <selection activeCell="F29" sqref="F29"/>
    </sheetView>
  </sheetViews>
  <sheetFormatPr defaultColWidth="0" defaultRowHeight="15" zeroHeight="1" x14ac:dyDescent="0.3"/>
  <cols>
    <col min="1" max="2" width="8.88671875" style="44" customWidth="1"/>
    <col min="3" max="3" width="52.33203125" style="44" bestFit="1" customWidth="1"/>
    <col min="4" max="4" width="19.6640625" style="53" customWidth="1"/>
    <col min="5" max="5" width="21.33203125" style="44" customWidth="1"/>
    <col min="6" max="6" width="19.6640625" style="53" customWidth="1"/>
    <col min="7" max="8" width="8.88671875" style="44" customWidth="1"/>
    <col min="9" max="16384" width="8.88671875" style="44" hidden="1"/>
  </cols>
  <sheetData>
    <row r="1" spans="2:7" ht="15.6" thickBot="1" x14ac:dyDescent="0.35"/>
    <row r="2" spans="2:7" x14ac:dyDescent="0.3">
      <c r="B2" s="72"/>
      <c r="C2" s="73"/>
      <c r="D2" s="74"/>
      <c r="E2" s="73"/>
      <c r="F2" s="74"/>
      <c r="G2" s="75"/>
    </row>
    <row r="3" spans="2:7" ht="45.6" x14ac:dyDescent="0.3">
      <c r="B3" s="42"/>
      <c r="C3" s="82" t="s">
        <v>186</v>
      </c>
      <c r="D3" s="83" t="s">
        <v>119</v>
      </c>
      <c r="E3" s="84" t="s">
        <v>187</v>
      </c>
      <c r="F3" s="164" t="s">
        <v>118</v>
      </c>
      <c r="G3" s="43"/>
    </row>
    <row r="4" spans="2:7" x14ac:dyDescent="0.3">
      <c r="B4" s="42"/>
      <c r="C4" s="35"/>
      <c r="D4" s="66"/>
      <c r="E4" s="35"/>
      <c r="F4" s="66"/>
      <c r="G4" s="43"/>
    </row>
    <row r="5" spans="2:7" ht="15.6" x14ac:dyDescent="0.3">
      <c r="B5" s="42"/>
      <c r="C5" s="70" t="s">
        <v>395</v>
      </c>
      <c r="D5" s="54">
        <f>IF('2) Response Component Inputs'!E6&gt;0,Equations!$E$4*10^(Equations!$F$4+Equations!$G$4+Equations!$H$4*LOG('2) Response Component Inputs'!E6)),0)</f>
        <v>0</v>
      </c>
      <c r="E5" s="55" t="str">
        <f>'3) Open Pit Criteria'!I10</f>
        <v>No</v>
      </c>
      <c r="F5" s="54">
        <f>IF(E5="Yes",0,D5)</f>
        <v>0</v>
      </c>
      <c r="G5" s="43"/>
    </row>
    <row r="6" spans="2:7" ht="15.6" x14ac:dyDescent="0.3">
      <c r="B6" s="42"/>
      <c r="C6" s="70" t="s">
        <v>396</v>
      </c>
      <c r="D6" s="54">
        <f>SUM(D7:D9)</f>
        <v>0</v>
      </c>
      <c r="E6" s="55" t="str">
        <f>IF(SUM(E7:E9)=0,"No",IF(SUM(E7:E9)=3,"Yes","Some"))</f>
        <v>No</v>
      </c>
      <c r="F6" s="54">
        <f>SUM(F7:F9)</f>
        <v>0</v>
      </c>
      <c r="G6" s="43"/>
    </row>
    <row r="7" spans="2:7" ht="15.6" hidden="1" x14ac:dyDescent="0.3">
      <c r="B7" s="42"/>
      <c r="C7" s="61" t="s">
        <v>98</v>
      </c>
      <c r="D7" s="62">
        <f>IF('2) Response Component Inputs'!E7=Equations!$T$3,Equations!$B$5,IF('2) Response Component Inputs'!E7=Equations!$T$5,Equations!$C$5,0))</f>
        <v>0</v>
      </c>
      <c r="E7" s="63">
        <f>IF('4) Underground Mine Criteria'!I11="No",0,1)</f>
        <v>0</v>
      </c>
      <c r="F7" s="64">
        <f>IF(E7=1,0,D7)</f>
        <v>0</v>
      </c>
      <c r="G7" s="43"/>
    </row>
    <row r="8" spans="2:7" ht="15.6" hidden="1" x14ac:dyDescent="0.3">
      <c r="B8" s="42"/>
      <c r="C8" s="49" t="s">
        <v>99</v>
      </c>
      <c r="D8" s="54">
        <f>IF('2) Response Component Inputs'!E8=Equations!$T$3,Equations!$B$5,IF('2) Response Component Inputs'!E8=Equations!$T$5,Equations!$C$5,0))</f>
        <v>0</v>
      </c>
      <c r="E8" s="55">
        <f>IF('4) Underground Mine Criteria'!N11="No",0,1)</f>
        <v>0</v>
      </c>
      <c r="F8" s="50">
        <f t="shared" ref="F8:F9" si="0">IF(E8=1,0,D8)</f>
        <v>0</v>
      </c>
      <c r="G8" s="43"/>
    </row>
    <row r="9" spans="2:7" ht="15.6" hidden="1" x14ac:dyDescent="0.3">
      <c r="B9" s="42"/>
      <c r="C9" s="51" t="s">
        <v>100</v>
      </c>
      <c r="D9" s="56">
        <f>IF('2) Response Component Inputs'!E9=Equations!$T$3,Equations!$B$5,IF('2) Response Component Inputs'!E9=Equations!$T$5,Equations!$C$5,0))</f>
        <v>0</v>
      </c>
      <c r="E9" s="57">
        <f>IF('4) Underground Mine Criteria'!S11="No",0,1)</f>
        <v>0</v>
      </c>
      <c r="F9" s="52">
        <f t="shared" si="0"/>
        <v>0</v>
      </c>
      <c r="G9" s="43"/>
    </row>
    <row r="10" spans="2:7" ht="15.6" x14ac:dyDescent="0.3">
      <c r="B10" s="42"/>
      <c r="C10" s="70" t="s">
        <v>397</v>
      </c>
      <c r="D10" s="60">
        <f>IF('2) Response Component Inputs'!E11&gt;0,Equations!$E$6*10^(Equations!$F$6+Equations!$G$6+Equations!$H$6*LOG('2) Response Component Inputs'!E11)),0)</f>
        <v>0</v>
      </c>
      <c r="E10" s="55" t="str">
        <f>'5) Waste Rock Criteria'!I13</f>
        <v>No</v>
      </c>
      <c r="F10" s="54">
        <f t="shared" ref="F10:F16" si="1">IF(E10="Yes",0,D10)</f>
        <v>0</v>
      </c>
      <c r="G10" s="43"/>
    </row>
    <row r="11" spans="2:7" ht="15.6" x14ac:dyDescent="0.3">
      <c r="B11" s="42"/>
      <c r="C11" s="70" t="s">
        <v>398</v>
      </c>
      <c r="D11" s="60">
        <f>IF('2) Response Component Inputs'!E12&gt;0,Equations!$E$7*10^(Equations!$F$7+Equations!$G$7+Equations!$H$7*LOG('2) Response Component Inputs'!E12)),0)</f>
        <v>0</v>
      </c>
      <c r="E11" s="55" t="str">
        <f>'6) Heap_Dump Leach Criteria'!I13</f>
        <v>No</v>
      </c>
      <c r="F11" s="54">
        <f t="shared" si="1"/>
        <v>0</v>
      </c>
      <c r="G11" s="43"/>
    </row>
    <row r="12" spans="2:7" ht="15.6" x14ac:dyDescent="0.3">
      <c r="B12" s="42"/>
      <c r="C12" s="70" t="s">
        <v>399</v>
      </c>
      <c r="D12" s="60">
        <f>IF('2) Response Component Inputs'!E15&gt;0,Equations!$E$8*10^(Equations!$F$8+Equations!$G$8+Equations!$H$8*LOG('2) Response Component Inputs'!E15)),0)</f>
        <v>0</v>
      </c>
      <c r="E12" s="55" t="str">
        <f>'7) Tailings Criteria'!I15</f>
        <v>No</v>
      </c>
      <c r="F12" s="54">
        <f t="shared" si="1"/>
        <v>0</v>
      </c>
      <c r="G12" s="43"/>
    </row>
    <row r="13" spans="2:7" ht="15.6" x14ac:dyDescent="0.3">
      <c r="B13" s="42"/>
      <c r="C13" s="70" t="s">
        <v>400</v>
      </c>
      <c r="D13" s="54">
        <f>IF('2) Response Component Inputs'!E17&gt;0,Equations!$E$9*10^(Equations!$F$9+Equations!$H$9*LOG('2) Response Component Inputs'!E17)),0)</f>
        <v>0</v>
      </c>
      <c r="E13" s="55" t="str">
        <f>'8) Process Pond_Res. Criteria'!I9</f>
        <v>No</v>
      </c>
      <c r="F13" s="54">
        <f t="shared" si="1"/>
        <v>0</v>
      </c>
      <c r="G13" s="43"/>
    </row>
    <row r="14" spans="2:7" ht="15.6" x14ac:dyDescent="0.3">
      <c r="B14" s="42"/>
      <c r="C14" s="70" t="s">
        <v>401</v>
      </c>
      <c r="D14" s="54">
        <f>IF('2) Response Component Inputs'!E18&gt;0,Equations!$D$10*'2) Response Component Inputs'!E18,0)</f>
        <v>0</v>
      </c>
      <c r="E14" s="55" t="str">
        <f>'9) Slag Pile Criteria'!I13</f>
        <v>No</v>
      </c>
      <c r="F14" s="54">
        <f t="shared" si="1"/>
        <v>0</v>
      </c>
      <c r="G14" s="43"/>
    </row>
    <row r="15" spans="2:7" ht="15.6" x14ac:dyDescent="0.3">
      <c r="B15" s="42"/>
      <c r="C15" s="70" t="s">
        <v>402</v>
      </c>
      <c r="D15" s="54">
        <f>Equations!$E$11*10^(Equations!$F$11+Equations!$H$11*LOG('2) Response Component Inputs'!E23+1))</f>
        <v>25145.362002519854</v>
      </c>
      <c r="E15" s="55" t="str">
        <f>'11) Drainage Criteria'!I6</f>
        <v>No</v>
      </c>
      <c r="F15" s="54">
        <f t="shared" si="1"/>
        <v>25145.362002519854</v>
      </c>
      <c r="G15" s="43"/>
    </row>
    <row r="16" spans="2:7" ht="15.6" x14ac:dyDescent="0.3">
      <c r="B16" s="42"/>
      <c r="C16" s="70" t="s">
        <v>403</v>
      </c>
      <c r="D16" s="54">
        <f>Equations!B3</f>
        <v>2600000</v>
      </c>
      <c r="E16" s="55" t="str">
        <f>'10) Waste Disposal Criteria'!I8</f>
        <v>No</v>
      </c>
      <c r="F16" s="54">
        <f t="shared" si="1"/>
        <v>2600000</v>
      </c>
      <c r="G16" s="43"/>
    </row>
    <row r="17" spans="2:7" ht="15.6" x14ac:dyDescent="0.3">
      <c r="B17" s="42"/>
      <c r="C17" s="70" t="s">
        <v>404</v>
      </c>
      <c r="D17" s="54">
        <f>D18*(1/Equations!$V$2)*(1-(1/((1+Equations!$V$2)^10)))</f>
        <v>161908.33666466066</v>
      </c>
      <c r="E17" s="55" t="str">
        <f>E18</f>
        <v>No</v>
      </c>
      <c r="F17" s="54">
        <f>F18*(1/Equations!$V$2)*(1-(1/((1+Equations!$V$2)^10)))</f>
        <v>161908.33666466066</v>
      </c>
      <c r="G17" s="43"/>
    </row>
    <row r="18" spans="2:7" ht="19.5" hidden="1" customHeight="1" x14ac:dyDescent="0.3">
      <c r="B18" s="42"/>
      <c r="C18" s="67" t="s">
        <v>127</v>
      </c>
      <c r="D18" s="68">
        <f>Equations!$E$14*10^(Equations!$F$14+Equations!$H$14*LOG('2) Response Component Inputs'!E23+1))</f>
        <v>18623.932459509739</v>
      </c>
      <c r="E18" s="59" t="str">
        <f>'12) Short-Term O&amp;M Criteria'!I8</f>
        <v>No</v>
      </c>
      <c r="F18" s="69">
        <f>IF(E18="Yes",0,D18)</f>
        <v>18623.932459509739</v>
      </c>
      <c r="G18" s="43"/>
    </row>
    <row r="19" spans="2:7" ht="19.5" customHeight="1" x14ac:dyDescent="0.3">
      <c r="B19" s="42"/>
      <c r="C19" s="70" t="s">
        <v>405</v>
      </c>
      <c r="D19" s="54">
        <f>D20*(1/Equations!$V$2)*(1-(1/((1+Equations!$V$2)^10)))</f>
        <v>0</v>
      </c>
      <c r="E19" s="55" t="str">
        <f>E20</f>
        <v>No</v>
      </c>
      <c r="F19" s="54">
        <f>F20*(1/Equations!$V$2)*(1-(1/((1+Equations!$V$2)^10)))</f>
        <v>0</v>
      </c>
      <c r="G19" s="43"/>
    </row>
    <row r="20" spans="2:7" ht="15.75" hidden="1" customHeight="1" x14ac:dyDescent="0.3">
      <c r="B20" s="42"/>
      <c r="C20" s="67" t="s">
        <v>124</v>
      </c>
      <c r="D20" s="68">
        <f>IF('2) Response Component Inputs'!E12+'2) Response Component Inputs'!E15&gt;0,Equations!$E$12*10^(Equations!$F$12+Equations!$H$12*LOG('2) Response Component Inputs'!E12+1)+Equations!$I$12*LOG('2) Response Component Inputs'!E16+1)+Equations!$J$12*'2) Response Component Inputs'!E22),0)</f>
        <v>0</v>
      </c>
      <c r="E20" s="59" t="str">
        <f>'13) Interim O&amp;M Criteria'!I7</f>
        <v>No</v>
      </c>
      <c r="F20" s="69">
        <f>IF(E20="Yes",0,D20)</f>
        <v>0</v>
      </c>
      <c r="G20" s="43"/>
    </row>
    <row r="21" spans="2:7" ht="15.6" x14ac:dyDescent="0.3">
      <c r="B21" s="42"/>
      <c r="C21" s="70" t="s">
        <v>406</v>
      </c>
      <c r="D21" s="54">
        <f>D22/Equations!$V$2</f>
        <v>82203.081795912934</v>
      </c>
      <c r="E21" s="55" t="str">
        <f>E22</f>
        <v>No</v>
      </c>
      <c r="F21" s="54">
        <f>F22/Equations!$V$2</f>
        <v>82203.081795912934</v>
      </c>
      <c r="G21" s="43"/>
    </row>
    <row r="22" spans="2:7" ht="22.5" hidden="1" customHeight="1" x14ac:dyDescent="0.3">
      <c r="B22" s="42"/>
      <c r="C22" s="67" t="s">
        <v>128</v>
      </c>
      <c r="D22" s="68">
        <f>Equations!$E$15*10^(Equations!$F$15+Equations!$H$15*LOG('2) Response Component Inputs'!E23+1))</f>
        <v>2161.9410512325103</v>
      </c>
      <c r="E22" s="59" t="str">
        <f>'14) Long-Term O&amp;M Criteria'!I8</f>
        <v>No</v>
      </c>
      <c r="F22" s="69">
        <f>IF(E22="Yes",0,D22)</f>
        <v>2161.9410512325103</v>
      </c>
      <c r="G22" s="43"/>
    </row>
    <row r="23" spans="2:7" ht="16.2" thickBot="1" x14ac:dyDescent="0.35">
      <c r="B23" s="42"/>
      <c r="C23" s="70" t="s">
        <v>407</v>
      </c>
      <c r="D23" s="54">
        <f>D24/Equations!$V$2</f>
        <v>0</v>
      </c>
      <c r="E23" s="55" t="str">
        <f>E24</f>
        <v>No</v>
      </c>
      <c r="F23" s="54">
        <f>F24/Equations!$V$2</f>
        <v>0</v>
      </c>
      <c r="G23" s="43"/>
    </row>
    <row r="24" spans="2:7" ht="16.2" hidden="1" thickBot="1" x14ac:dyDescent="0.35">
      <c r="B24" s="42"/>
      <c r="C24" s="61" t="s">
        <v>126</v>
      </c>
      <c r="D24" s="62">
        <f>IF('2) Response Component Inputs'!E24&gt;0,Equations!$E$13*10^(Equations!$F$13+Equations!$G$13+Equations!$H$13*LOG('2) Response Component Inputs'!E24)+Equations!$J$13*IF('2) Response Component Inputs'!E19="Yes",1,0)),0)</f>
        <v>0</v>
      </c>
      <c r="E24" s="63" t="str">
        <f>'15) Water Treatment Criteria'!I7</f>
        <v>No</v>
      </c>
      <c r="F24" s="64">
        <f>IF(E24="Yes",0,D24)</f>
        <v>0</v>
      </c>
      <c r="G24" s="43"/>
    </row>
    <row r="25" spans="2:7" ht="15.6" x14ac:dyDescent="0.3">
      <c r="B25" s="42"/>
      <c r="C25" s="156" t="s">
        <v>394</v>
      </c>
      <c r="D25" s="157">
        <f>SUM(D5,D6,D10,D11,D12,D13,D14,D15,D16,D17,D19,D21,D23)</f>
        <v>2869256.7804630939</v>
      </c>
      <c r="E25" s="163">
        <f>(F25-D25)/D25</f>
        <v>0</v>
      </c>
      <c r="F25" s="157">
        <f>SUM(F16,F5,F6,F10,F11,F12,F13,F14,F15,F19,F23,F17,F21)</f>
        <v>2869256.7804630939</v>
      </c>
      <c r="G25" s="43"/>
    </row>
    <row r="26" spans="2:7" ht="15.6" x14ac:dyDescent="0.3">
      <c r="B26" s="42"/>
      <c r="C26" s="70"/>
      <c r="D26" s="54"/>
      <c r="E26" s="70"/>
      <c r="F26" s="54"/>
      <c r="G26" s="43"/>
    </row>
    <row r="27" spans="2:7" ht="15.6" x14ac:dyDescent="0.3">
      <c r="B27" s="42"/>
      <c r="C27" s="158" t="s">
        <v>183</v>
      </c>
      <c r="D27" s="65"/>
      <c r="E27" s="65"/>
      <c r="F27" s="159" t="e">
        <f>1+LOOKUP('2) Response Component Inputs'!E25,Equations!L3:L12,Equations!M3:M12)</f>
        <v>#N/A</v>
      </c>
      <c r="G27" s="43"/>
    </row>
    <row r="28" spans="2:7" ht="16.2" thickBot="1" x14ac:dyDescent="0.35">
      <c r="B28" s="42"/>
      <c r="C28" s="160" t="s">
        <v>182</v>
      </c>
      <c r="D28" s="161"/>
      <c r="E28" s="161"/>
      <c r="F28" s="162" t="e">
        <f>LOOKUP('2) Response Component Inputs'!E26,Equations!O4:O53,Equations!P4:P53)</f>
        <v>#N/A</v>
      </c>
      <c r="G28" s="43"/>
    </row>
    <row r="29" spans="2:7" s="71" customFormat="1" ht="15.6" x14ac:dyDescent="0.3">
      <c r="B29" s="76"/>
      <c r="C29" s="86" t="s">
        <v>185</v>
      </c>
      <c r="D29" s="87"/>
      <c r="E29" s="86"/>
      <c r="F29" s="87" t="e">
        <f>F25*(F27)*F28</f>
        <v>#N/A</v>
      </c>
      <c r="G29" s="77"/>
    </row>
    <row r="30" spans="2:7" ht="15.6" thickBot="1" x14ac:dyDescent="0.35">
      <c r="B30" s="78"/>
      <c r="C30" s="79"/>
      <c r="D30" s="80"/>
      <c r="E30" s="79"/>
      <c r="F30" s="80"/>
      <c r="G30" s="81"/>
    </row>
    <row r="31" spans="2:7" x14ac:dyDescent="0.3"/>
  </sheetData>
  <sheetProtection algorithmName="SHA-512" hashValue="rHc2Lq8SnC8F0RJ//AbXrPKgQ7U9F9Cv7SgUWelzeYVrv5eQpC6GO+F3eoJKfUJuGsXNE0MxGPeVDs7otbe+pw==" saltValue="XfJj7s94x5V+i4jEHLXFwg==" spinCount="100000" sheet="1" selectLockedCells="1"/>
  <pageMargins left="0.7" right="0.7" top="0.75" bottom="0.75" header="0.3" footer="0.3"/>
  <pageSetup orientation="portrait" r:id="rId1"/>
  <ignoredErrors>
    <ignoredError sqref="E6:F6 E17:F17 E19:F19 E21:F21 E23:F2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9" sqref="E9"/>
    </sheetView>
  </sheetViews>
  <sheetFormatPr defaultColWidth="0" defaultRowHeight="15" zeroHeight="1" x14ac:dyDescent="0.3"/>
  <cols>
    <col min="1" max="2" width="8.88671875" style="44" customWidth="1"/>
    <col min="3" max="3" width="27.6640625" style="44" customWidth="1"/>
    <col min="4" max="4" width="24.5546875" style="53" customWidth="1"/>
    <col min="5" max="5" width="25.5546875" style="44" customWidth="1"/>
    <col min="6" max="7" width="8.88671875" style="44" customWidth="1"/>
    <col min="8" max="16384" width="8.88671875" style="44" hidden="1"/>
  </cols>
  <sheetData>
    <row r="1" spans="2:6" ht="15.6" thickBot="1" x14ac:dyDescent="0.35"/>
    <row r="2" spans="2:6" x14ac:dyDescent="0.3">
      <c r="B2" s="72"/>
      <c r="C2" s="73"/>
      <c r="D2" s="74"/>
      <c r="E2" s="73"/>
      <c r="F2" s="75"/>
    </row>
    <row r="3" spans="2:6" ht="23.4" x14ac:dyDescent="0.3">
      <c r="B3" s="42"/>
      <c r="C3" s="174" t="s">
        <v>200</v>
      </c>
      <c r="D3" s="175"/>
      <c r="E3" s="175"/>
      <c r="F3" s="43"/>
    </row>
    <row r="4" spans="2:6" x14ac:dyDescent="0.3">
      <c r="B4" s="42"/>
      <c r="C4" s="35"/>
      <c r="D4" s="66"/>
      <c r="E4" s="35"/>
      <c r="F4" s="43"/>
    </row>
    <row r="5" spans="2:6" ht="15.6" x14ac:dyDescent="0.3">
      <c r="B5" s="42"/>
      <c r="C5" s="221" t="s">
        <v>188</v>
      </c>
      <c r="D5" s="222"/>
      <c r="E5" s="64" t="e">
        <f>'Detailed Response Component'!F29</f>
        <v>#N/A</v>
      </c>
      <c r="F5" s="43"/>
    </row>
    <row r="6" spans="2:6" ht="15.6" x14ac:dyDescent="0.3">
      <c r="B6" s="42"/>
      <c r="C6" s="215" t="s">
        <v>189</v>
      </c>
      <c r="D6" s="216"/>
      <c r="E6" s="50" t="e">
        <f>E5*Equations!D17</f>
        <v>#N/A</v>
      </c>
      <c r="F6" s="43"/>
    </row>
    <row r="7" spans="2:6" ht="15.6" x14ac:dyDescent="0.3">
      <c r="B7" s="42"/>
      <c r="C7" s="215" t="s">
        <v>190</v>
      </c>
      <c r="D7" s="216"/>
      <c r="E7" s="50">
        <f>Equations!B19</f>
        <v>550000</v>
      </c>
      <c r="F7" s="43"/>
    </row>
    <row r="8" spans="2:6" ht="16.2" thickBot="1" x14ac:dyDescent="0.35">
      <c r="B8" s="42"/>
      <c r="C8" s="217" t="s">
        <v>191</v>
      </c>
      <c r="D8" s="218"/>
      <c r="E8" s="90">
        <f>'1) General Information'!E13/Equations!X2</f>
        <v>1.0215004574565416</v>
      </c>
      <c r="F8" s="43"/>
    </row>
    <row r="9" spans="2:6" ht="31.5" customHeight="1" thickTop="1" thickBot="1" x14ac:dyDescent="0.35">
      <c r="B9" s="42"/>
      <c r="C9" s="219" t="s">
        <v>221</v>
      </c>
      <c r="D9" s="220"/>
      <c r="E9" s="91" t="e">
        <f>SUM(E5:E7)*E8</f>
        <v>#N/A</v>
      </c>
      <c r="F9" s="43"/>
    </row>
    <row r="10" spans="2:6" ht="16.2" thickTop="1" thickBot="1" x14ac:dyDescent="0.35">
      <c r="B10" s="78"/>
      <c r="C10" s="79"/>
      <c r="D10" s="80"/>
      <c r="E10" s="79"/>
      <c r="F10" s="81"/>
    </row>
    <row r="11" spans="2:6" x14ac:dyDescent="0.3"/>
  </sheetData>
  <sheetProtection algorithmName="SHA-512" hashValue="mxsW3y9Ppk4+KKiwjgpgQyzEWSa0OthHjbH/igkxxdzVcv9y7KSeqHnKf+6JNWaJFroNyfSpsWGE4749CcVjoQ==" saltValue="+1BshqOaoK1Z9A3Ncs53tg==" spinCount="100000" sheet="1" objects="1" scenarios="1" selectLockedCells="1"/>
  <mergeCells count="6">
    <mergeCell ref="C7:D7"/>
    <mergeCell ref="C8:D8"/>
    <mergeCell ref="C9:D9"/>
    <mergeCell ref="C3:E3"/>
    <mergeCell ref="C5:D5"/>
    <mergeCell ref="C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75" zoomScaleNormal="75" workbookViewId="0">
      <selection activeCell="C7" sqref="C7"/>
    </sheetView>
  </sheetViews>
  <sheetFormatPr defaultColWidth="0" defaultRowHeight="15" zeroHeight="1" x14ac:dyDescent="0.25"/>
  <cols>
    <col min="1" max="2" width="8.88671875" style="1" customWidth="1"/>
    <col min="3" max="3" width="106.33203125" style="27" customWidth="1"/>
    <col min="4" max="5" width="8.88671875" style="1" customWidth="1"/>
    <col min="6" max="16384" width="8.88671875" style="1" hidden="1"/>
  </cols>
  <sheetData>
    <row r="1" spans="2:4" ht="15.6" thickBot="1" x14ac:dyDescent="0.3"/>
    <row r="2" spans="2:4" x14ac:dyDescent="0.25">
      <c r="B2" s="2"/>
      <c r="C2" s="29"/>
      <c r="D2" s="3"/>
    </row>
    <row r="3" spans="2:4" ht="22.8" x14ac:dyDescent="0.4">
      <c r="B3" s="4"/>
      <c r="C3" s="88" t="s">
        <v>410</v>
      </c>
      <c r="D3" s="5"/>
    </row>
    <row r="4" spans="2:4" x14ac:dyDescent="0.25">
      <c r="B4" s="4"/>
      <c r="C4" s="89"/>
      <c r="D4" s="5"/>
    </row>
    <row r="5" spans="2:4" ht="90.6" x14ac:dyDescent="0.25">
      <c r="B5" s="4"/>
      <c r="C5" s="165" t="s">
        <v>265</v>
      </c>
      <c r="D5" s="5"/>
    </row>
    <row r="6" spans="2:4" x14ac:dyDescent="0.25">
      <c r="B6" s="4"/>
      <c r="C6" s="165"/>
      <c r="D6" s="5"/>
    </row>
    <row r="7" spans="2:4" ht="30.6" x14ac:dyDescent="0.25">
      <c r="B7" s="4"/>
      <c r="C7" s="165" t="s">
        <v>213</v>
      </c>
      <c r="D7" s="5"/>
    </row>
    <row r="8" spans="2:4" x14ac:dyDescent="0.25">
      <c r="B8" s="4"/>
      <c r="C8" s="165"/>
      <c r="D8" s="5"/>
    </row>
    <row r="9" spans="2:4" ht="30.6" x14ac:dyDescent="0.25">
      <c r="B9" s="4"/>
      <c r="C9" s="165" t="s">
        <v>266</v>
      </c>
      <c r="D9" s="5"/>
    </row>
    <row r="10" spans="2:4" x14ac:dyDescent="0.25">
      <c r="B10" s="4"/>
      <c r="C10" s="165"/>
      <c r="D10" s="5"/>
    </row>
    <row r="11" spans="2:4" ht="45.6" x14ac:dyDescent="0.25">
      <c r="B11" s="4"/>
      <c r="C11" s="165" t="s">
        <v>267</v>
      </c>
      <c r="D11" s="5"/>
    </row>
    <row r="12" spans="2:4" x14ac:dyDescent="0.25">
      <c r="B12" s="4"/>
      <c r="C12" s="165"/>
      <c r="D12" s="5"/>
    </row>
    <row r="13" spans="2:4" ht="30.6" x14ac:dyDescent="0.25">
      <c r="B13" s="4"/>
      <c r="C13" s="165" t="s">
        <v>214</v>
      </c>
      <c r="D13" s="5"/>
    </row>
    <row r="14" spans="2:4" x14ac:dyDescent="0.25">
      <c r="B14" s="4"/>
      <c r="C14" s="165"/>
      <c r="D14" s="5"/>
    </row>
    <row r="15" spans="2:4" ht="30.6" x14ac:dyDescent="0.25">
      <c r="B15" s="4"/>
      <c r="C15" s="165" t="s">
        <v>268</v>
      </c>
      <c r="D15" s="5"/>
    </row>
    <row r="16" spans="2:4" x14ac:dyDescent="0.25">
      <c r="B16" s="4"/>
      <c r="C16" s="165"/>
      <c r="D16" s="5"/>
    </row>
    <row r="17" spans="2:4" ht="45.6" x14ac:dyDescent="0.25">
      <c r="B17" s="4"/>
      <c r="C17" s="165" t="s">
        <v>269</v>
      </c>
      <c r="D17" s="5"/>
    </row>
    <row r="18" spans="2:4" x14ac:dyDescent="0.25">
      <c r="B18" s="4"/>
      <c r="C18" s="165"/>
      <c r="D18" s="5"/>
    </row>
    <row r="19" spans="2:4" ht="30.6" x14ac:dyDescent="0.25">
      <c r="B19" s="4"/>
      <c r="C19" s="165" t="s">
        <v>215</v>
      </c>
      <c r="D19" s="5"/>
    </row>
    <row r="20" spans="2:4" x14ac:dyDescent="0.25">
      <c r="B20" s="4"/>
      <c r="C20" s="165"/>
      <c r="D20" s="5"/>
    </row>
    <row r="21" spans="2:4" ht="60.6" x14ac:dyDescent="0.25">
      <c r="B21" s="4"/>
      <c r="C21" s="165" t="s">
        <v>216</v>
      </c>
      <c r="D21" s="5"/>
    </row>
    <row r="22" spans="2:4" x14ac:dyDescent="0.25">
      <c r="B22" s="4"/>
      <c r="C22" s="165"/>
      <c r="D22" s="5"/>
    </row>
    <row r="23" spans="2:4" ht="30.6" x14ac:dyDescent="0.25">
      <c r="B23" s="4"/>
      <c r="C23" s="165" t="s">
        <v>208</v>
      </c>
      <c r="D23" s="5"/>
    </row>
    <row r="24" spans="2:4" x14ac:dyDescent="0.25">
      <c r="B24" s="4"/>
      <c r="C24" s="165"/>
      <c r="D24" s="5"/>
    </row>
    <row r="25" spans="2:4" ht="75.599999999999994" x14ac:dyDescent="0.25">
      <c r="B25" s="4"/>
      <c r="C25" s="165" t="s">
        <v>209</v>
      </c>
      <c r="D25" s="5"/>
    </row>
    <row r="26" spans="2:4" x14ac:dyDescent="0.25">
      <c r="B26" s="4"/>
      <c r="C26" s="165"/>
      <c r="D26" s="5"/>
    </row>
    <row r="27" spans="2:4" ht="15.6" x14ac:dyDescent="0.25">
      <c r="B27" s="4"/>
      <c r="C27" s="165" t="s">
        <v>210</v>
      </c>
      <c r="D27" s="5"/>
    </row>
    <row r="28" spans="2:4" ht="14.25" customHeight="1" x14ac:dyDescent="0.25">
      <c r="B28" s="4"/>
      <c r="C28" s="165"/>
      <c r="D28" s="5"/>
    </row>
    <row r="29" spans="2:4" ht="55.5" customHeight="1" x14ac:dyDescent="0.25">
      <c r="B29" s="4"/>
      <c r="C29" s="165" t="s">
        <v>211</v>
      </c>
      <c r="D29" s="5"/>
    </row>
    <row r="30" spans="2:4" x14ac:dyDescent="0.25">
      <c r="B30" s="4"/>
      <c r="C30" s="165"/>
      <c r="D30" s="5"/>
    </row>
    <row r="31" spans="2:4" ht="30.6" x14ac:dyDescent="0.25">
      <c r="B31" s="4"/>
      <c r="C31" s="165" t="s">
        <v>212</v>
      </c>
      <c r="D31" s="5"/>
    </row>
    <row r="32" spans="2:4" x14ac:dyDescent="0.25">
      <c r="B32" s="4"/>
      <c r="C32" s="165"/>
      <c r="D32" s="5"/>
    </row>
    <row r="33" spans="2:4" ht="30.6" x14ac:dyDescent="0.25">
      <c r="B33" s="4"/>
      <c r="C33" s="165" t="s">
        <v>270</v>
      </c>
      <c r="D33" s="5"/>
    </row>
    <row r="34" spans="2:4" ht="15.6" thickBot="1" x14ac:dyDescent="0.3">
      <c r="B34" s="8"/>
      <c r="C34" s="30"/>
      <c r="D34" s="10"/>
    </row>
    <row r="35" spans="2:4" x14ac:dyDescent="0.25"/>
  </sheetData>
  <sheetProtection algorithmName="SHA-512" hashValue="5cXiga7Wr/6wo6lEtdMYCtm/bwAz3dCmEp02nNqfyyYbUmycacBtosh65EL4MqWQV5dhvqK8o0blZSxSNM0v/Q==" saltValue="Wvcz1X8mBFQuxInjWEco2g==" spinCount="100000" sheet="1" selectLockedCells="1" selectUnlockedCell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workbookViewId="0"/>
  </sheetViews>
  <sheetFormatPr defaultColWidth="8.88671875" defaultRowHeight="15.6" x14ac:dyDescent="0.3"/>
  <cols>
    <col min="1" max="1" width="34.44140625" style="11" bestFit="1" customWidth="1"/>
    <col min="2" max="3" width="12.6640625" style="11" bestFit="1" customWidth="1"/>
    <col min="4" max="4" width="14.5546875" style="11" bestFit="1" customWidth="1"/>
    <col min="5" max="5" width="7.109375" style="11" bestFit="1" customWidth="1"/>
    <col min="6" max="7" width="9.6640625" style="11" bestFit="1" customWidth="1"/>
    <col min="8" max="9" width="11.6640625" style="11" bestFit="1" customWidth="1"/>
    <col min="10" max="10" width="14.6640625" style="11" bestFit="1" customWidth="1"/>
    <col min="11" max="11" width="8.88671875" style="11"/>
    <col min="12" max="12" width="10.33203125" style="11" customWidth="1"/>
    <col min="13" max="13" width="24.33203125" style="11" customWidth="1"/>
    <col min="14" max="15" width="8.88671875" style="11"/>
    <col min="16" max="16" width="19.44140625" style="11" customWidth="1"/>
    <col min="17" max="17" width="8.88671875" style="11"/>
    <col min="18" max="18" width="28.44140625" style="11" customWidth="1"/>
    <col min="19" max="19" width="8.88671875" style="11"/>
    <col min="20" max="20" width="35" style="11" bestFit="1" customWidth="1"/>
    <col min="21" max="21" width="8.88671875" style="11"/>
    <col min="22" max="22" width="25.6640625" style="11" bestFit="1" customWidth="1"/>
    <col min="23" max="23" width="8.88671875" style="11"/>
    <col min="24" max="24" width="19.33203125" style="11" bestFit="1" customWidth="1"/>
    <col min="25" max="16384" width="8.88671875" style="11"/>
  </cols>
  <sheetData>
    <row r="1" spans="1:24" x14ac:dyDescent="0.3">
      <c r="A1" s="20" t="s">
        <v>10</v>
      </c>
      <c r="B1" s="20" t="s">
        <v>15</v>
      </c>
      <c r="C1" s="20" t="s">
        <v>16</v>
      </c>
      <c r="D1" s="20" t="s">
        <v>89</v>
      </c>
      <c r="E1" s="20" t="s">
        <v>17</v>
      </c>
      <c r="F1" s="20" t="s">
        <v>12</v>
      </c>
      <c r="G1" s="20" t="s">
        <v>19</v>
      </c>
      <c r="H1" s="20" t="s">
        <v>20</v>
      </c>
      <c r="I1" s="20" t="s">
        <v>21</v>
      </c>
      <c r="J1" s="20" t="s">
        <v>22</v>
      </c>
      <c r="L1" s="226" t="s">
        <v>101</v>
      </c>
      <c r="M1" s="226" t="s">
        <v>88</v>
      </c>
      <c r="O1" s="223" t="s">
        <v>36</v>
      </c>
      <c r="P1" s="223" t="s">
        <v>37</v>
      </c>
      <c r="R1" s="24" t="s">
        <v>92</v>
      </c>
      <c r="T1" s="24" t="s">
        <v>92</v>
      </c>
      <c r="V1" s="24" t="s">
        <v>125</v>
      </c>
      <c r="X1" s="24" t="s">
        <v>192</v>
      </c>
    </row>
    <row r="2" spans="1:24" ht="16.8" thickBot="1" x14ac:dyDescent="0.4">
      <c r="A2" s="228" t="s">
        <v>32</v>
      </c>
      <c r="B2" s="229"/>
      <c r="C2" s="229"/>
      <c r="D2" s="229"/>
      <c r="E2" s="229"/>
      <c r="F2" s="229"/>
      <c r="G2" s="229"/>
      <c r="H2" s="229"/>
      <c r="I2" s="229"/>
      <c r="J2" s="230"/>
      <c r="L2" s="231"/>
      <c r="M2" s="227"/>
      <c r="O2" s="232"/>
      <c r="P2" s="224"/>
      <c r="R2" s="25" t="s">
        <v>96</v>
      </c>
      <c r="T2" s="25" t="s">
        <v>117</v>
      </c>
      <c r="V2" s="38">
        <v>2.63E-2</v>
      </c>
      <c r="X2" s="85">
        <v>109.3</v>
      </c>
    </row>
    <row r="3" spans="1:24" ht="16.8" thickTop="1" thickBot="1" x14ac:dyDescent="0.35">
      <c r="A3" s="13" t="s">
        <v>11</v>
      </c>
      <c r="B3" s="14">
        <v>2600000</v>
      </c>
      <c r="C3" s="21">
        <v>0</v>
      </c>
      <c r="D3" s="21">
        <v>0</v>
      </c>
      <c r="E3" s="22"/>
      <c r="F3" s="22">
        <v>0</v>
      </c>
      <c r="G3" s="22">
        <v>0</v>
      </c>
      <c r="H3" s="22">
        <v>0</v>
      </c>
      <c r="I3" s="22">
        <v>0</v>
      </c>
      <c r="J3" s="22">
        <v>0</v>
      </c>
      <c r="L3" s="16" t="s">
        <v>102</v>
      </c>
      <c r="M3" s="17">
        <v>0.4864</v>
      </c>
      <c r="O3" s="233"/>
      <c r="P3" s="225"/>
      <c r="R3" s="25" t="s">
        <v>97</v>
      </c>
      <c r="T3" s="25" t="s">
        <v>91</v>
      </c>
    </row>
    <row r="4" spans="1:24" ht="16.2" thickBot="1" x14ac:dyDescent="0.35">
      <c r="A4" s="13" t="s">
        <v>13</v>
      </c>
      <c r="B4" s="21">
        <v>0</v>
      </c>
      <c r="C4" s="21">
        <v>0</v>
      </c>
      <c r="D4" s="21">
        <v>0</v>
      </c>
      <c r="E4" s="144">
        <v>5.07</v>
      </c>
      <c r="F4" s="144">
        <v>2.88</v>
      </c>
      <c r="G4" s="144">
        <v>1.36</v>
      </c>
      <c r="H4" s="144">
        <v>1.08</v>
      </c>
      <c r="I4" s="145">
        <v>0</v>
      </c>
      <c r="J4" s="145">
        <v>0</v>
      </c>
      <c r="L4" s="16" t="s">
        <v>103</v>
      </c>
      <c r="M4" s="17">
        <v>0.47599999999999998</v>
      </c>
      <c r="O4" s="18" t="s">
        <v>38</v>
      </c>
      <c r="P4" s="19">
        <v>1.19</v>
      </c>
      <c r="T4" s="25" t="s">
        <v>93</v>
      </c>
    </row>
    <row r="5" spans="1:24" ht="16.2" thickBot="1" x14ac:dyDescent="0.35">
      <c r="A5" s="13" t="s">
        <v>14</v>
      </c>
      <c r="B5" s="14">
        <v>200000</v>
      </c>
      <c r="C5" s="14">
        <v>4500000</v>
      </c>
      <c r="D5" s="21">
        <v>0</v>
      </c>
      <c r="E5" s="145">
        <v>0</v>
      </c>
      <c r="F5" s="145">
        <v>0</v>
      </c>
      <c r="G5" s="145">
        <v>0</v>
      </c>
      <c r="H5" s="145">
        <v>0</v>
      </c>
      <c r="I5" s="145">
        <v>0</v>
      </c>
      <c r="J5" s="145">
        <v>0</v>
      </c>
      <c r="L5" s="16" t="s">
        <v>104</v>
      </c>
      <c r="M5" s="17">
        <v>0.51419999999999999</v>
      </c>
      <c r="O5" s="18" t="s">
        <v>39</v>
      </c>
      <c r="P5" s="19">
        <v>0.91</v>
      </c>
      <c r="T5" s="25" t="s">
        <v>218</v>
      </c>
    </row>
    <row r="6" spans="1:24" ht="16.2" thickBot="1" x14ac:dyDescent="0.35">
      <c r="A6" s="13" t="s">
        <v>18</v>
      </c>
      <c r="B6" s="21">
        <v>0</v>
      </c>
      <c r="C6" s="21">
        <v>0</v>
      </c>
      <c r="D6" s="21">
        <v>0</v>
      </c>
      <c r="E6" s="144">
        <v>1.85</v>
      </c>
      <c r="F6" s="144">
        <v>4.45</v>
      </c>
      <c r="G6" s="144">
        <v>0.73</v>
      </c>
      <c r="H6" s="144">
        <v>0.75</v>
      </c>
      <c r="I6" s="145">
        <v>0</v>
      </c>
      <c r="J6" s="145">
        <v>0</v>
      </c>
      <c r="L6" s="16" t="s">
        <v>105</v>
      </c>
      <c r="M6" s="17">
        <v>0.49569999999999997</v>
      </c>
      <c r="O6" s="18" t="s">
        <v>40</v>
      </c>
      <c r="P6" s="19">
        <v>0.87</v>
      </c>
    </row>
    <row r="7" spans="1:24" ht="16.2" thickBot="1" x14ac:dyDescent="0.35">
      <c r="A7" s="13" t="s">
        <v>23</v>
      </c>
      <c r="B7" s="21">
        <v>0</v>
      </c>
      <c r="C7" s="21">
        <v>0</v>
      </c>
      <c r="D7" s="21">
        <v>0</v>
      </c>
      <c r="E7" s="144">
        <v>2.29</v>
      </c>
      <c r="F7" s="144">
        <v>3.87</v>
      </c>
      <c r="G7" s="144">
        <v>0.7</v>
      </c>
      <c r="H7" s="144">
        <v>1.01</v>
      </c>
      <c r="I7" s="145">
        <v>0</v>
      </c>
      <c r="J7" s="145">
        <v>0</v>
      </c>
      <c r="L7" s="16" t="s">
        <v>106</v>
      </c>
      <c r="M7" s="17">
        <v>0.50129999999999997</v>
      </c>
      <c r="O7" s="18" t="s">
        <v>41</v>
      </c>
      <c r="P7" s="19">
        <v>0.96</v>
      </c>
    </row>
    <row r="8" spans="1:24" ht="16.2" thickBot="1" x14ac:dyDescent="0.35">
      <c r="A8" s="13" t="s">
        <v>24</v>
      </c>
      <c r="B8" s="21">
        <v>0</v>
      </c>
      <c r="C8" s="21">
        <v>0</v>
      </c>
      <c r="D8" s="21">
        <v>0</v>
      </c>
      <c r="E8" s="144">
        <v>1.71</v>
      </c>
      <c r="F8" s="144">
        <v>4.7300000000000004</v>
      </c>
      <c r="G8" s="144">
        <v>0.59</v>
      </c>
      <c r="H8" s="144">
        <v>0.68</v>
      </c>
      <c r="I8" s="145">
        <v>0</v>
      </c>
      <c r="J8" s="145">
        <v>0</v>
      </c>
      <c r="L8" s="16" t="s">
        <v>107</v>
      </c>
      <c r="M8" s="17">
        <v>0.48659999999999998</v>
      </c>
      <c r="O8" s="18" t="s">
        <v>42</v>
      </c>
      <c r="P8" s="19">
        <v>1.17</v>
      </c>
    </row>
    <row r="9" spans="1:24" ht="16.2" thickBot="1" x14ac:dyDescent="0.35">
      <c r="A9" s="13" t="s">
        <v>25</v>
      </c>
      <c r="B9" s="21">
        <v>0</v>
      </c>
      <c r="C9" s="21">
        <v>0</v>
      </c>
      <c r="D9" s="21">
        <v>0</v>
      </c>
      <c r="E9" s="144">
        <v>1.64</v>
      </c>
      <c r="F9" s="144">
        <v>4.29</v>
      </c>
      <c r="G9" s="145">
        <v>0</v>
      </c>
      <c r="H9" s="144">
        <v>1.03</v>
      </c>
      <c r="I9" s="145">
        <v>0</v>
      </c>
      <c r="J9" s="145">
        <v>0</v>
      </c>
      <c r="L9" s="16" t="s">
        <v>108</v>
      </c>
      <c r="M9" s="17">
        <v>0.4763</v>
      </c>
      <c r="O9" s="18" t="s">
        <v>43</v>
      </c>
      <c r="P9" s="19">
        <v>0.97</v>
      </c>
    </row>
    <row r="10" spans="1:24" ht="16.2" thickBot="1" x14ac:dyDescent="0.35">
      <c r="A10" s="13" t="s">
        <v>26</v>
      </c>
      <c r="B10" s="21">
        <v>0</v>
      </c>
      <c r="C10" s="21">
        <v>0</v>
      </c>
      <c r="D10" s="12">
        <v>64000</v>
      </c>
      <c r="E10" s="145">
        <v>0</v>
      </c>
      <c r="F10" s="145">
        <v>0</v>
      </c>
      <c r="G10" s="145">
        <v>0</v>
      </c>
      <c r="H10" s="145">
        <v>0</v>
      </c>
      <c r="I10" s="145">
        <v>0</v>
      </c>
      <c r="J10" s="145">
        <v>0</v>
      </c>
      <c r="L10" s="16" t="s">
        <v>109</v>
      </c>
      <c r="M10" s="17">
        <v>0.4819</v>
      </c>
      <c r="O10" s="18" t="s">
        <v>44</v>
      </c>
      <c r="P10" s="19">
        <v>1.18</v>
      </c>
    </row>
    <row r="11" spans="1:24" ht="16.2" thickBot="1" x14ac:dyDescent="0.35">
      <c r="A11" s="13" t="s">
        <v>31</v>
      </c>
      <c r="B11" s="21">
        <v>0</v>
      </c>
      <c r="C11" s="21">
        <v>0</v>
      </c>
      <c r="D11" s="23">
        <v>0</v>
      </c>
      <c r="E11" s="144">
        <v>9.56</v>
      </c>
      <c r="F11" s="144">
        <v>3.42</v>
      </c>
      <c r="G11" s="145">
        <v>0</v>
      </c>
      <c r="H11" s="144">
        <v>0.56999999999999995</v>
      </c>
      <c r="I11" s="145">
        <v>0</v>
      </c>
      <c r="J11" s="145">
        <v>0</v>
      </c>
      <c r="L11" s="16" t="s">
        <v>110</v>
      </c>
      <c r="M11" s="17">
        <v>0.48730000000000001</v>
      </c>
      <c r="O11" s="18" t="s">
        <v>45</v>
      </c>
      <c r="P11" s="19">
        <v>1.1000000000000001</v>
      </c>
    </row>
    <row r="12" spans="1:24" ht="16.2" thickBot="1" x14ac:dyDescent="0.35">
      <c r="A12" s="13" t="s">
        <v>27</v>
      </c>
      <c r="B12" s="21">
        <v>0</v>
      </c>
      <c r="C12" s="21">
        <v>0</v>
      </c>
      <c r="D12" s="21">
        <v>0</v>
      </c>
      <c r="E12" s="144">
        <v>1.46</v>
      </c>
      <c r="F12" s="144">
        <v>6.04</v>
      </c>
      <c r="G12" s="145">
        <v>0</v>
      </c>
      <c r="H12" s="144">
        <v>0.34</v>
      </c>
      <c r="I12" s="144">
        <v>0.1</v>
      </c>
      <c r="J12" s="144">
        <v>0.01</v>
      </c>
      <c r="L12" s="16" t="s">
        <v>111</v>
      </c>
      <c r="M12" s="17">
        <v>0.48139999999999999</v>
      </c>
      <c r="O12" s="18" t="s">
        <v>46</v>
      </c>
      <c r="P12" s="19">
        <v>0.92</v>
      </c>
    </row>
    <row r="13" spans="1:24" ht="16.2" thickBot="1" x14ac:dyDescent="0.35">
      <c r="A13" s="13" t="s">
        <v>28</v>
      </c>
      <c r="B13" s="21">
        <v>0</v>
      </c>
      <c r="C13" s="21">
        <v>0</v>
      </c>
      <c r="D13" s="21">
        <v>0</v>
      </c>
      <c r="E13" s="144">
        <v>1.1599999999999999</v>
      </c>
      <c r="F13" s="144">
        <v>2.16</v>
      </c>
      <c r="G13" s="144">
        <v>1.06</v>
      </c>
      <c r="H13" s="144">
        <v>1.1000000000000001</v>
      </c>
      <c r="I13" s="145">
        <v>0</v>
      </c>
      <c r="J13" s="144">
        <v>0.7</v>
      </c>
      <c r="O13" s="18" t="s">
        <v>47</v>
      </c>
      <c r="P13" s="19">
        <v>0.89</v>
      </c>
    </row>
    <row r="14" spans="1:24" ht="16.2" thickBot="1" x14ac:dyDescent="0.35">
      <c r="A14" s="13" t="s">
        <v>29</v>
      </c>
      <c r="B14" s="21">
        <v>0</v>
      </c>
      <c r="C14" s="21">
        <v>0</v>
      </c>
      <c r="D14" s="21">
        <v>0</v>
      </c>
      <c r="E14" s="144">
        <v>1.82</v>
      </c>
      <c r="F14" s="144">
        <v>4.01</v>
      </c>
      <c r="G14" s="145">
        <v>0</v>
      </c>
      <c r="H14" s="144">
        <v>0.38</v>
      </c>
      <c r="I14" s="145">
        <v>0</v>
      </c>
      <c r="J14" s="145">
        <v>0</v>
      </c>
      <c r="O14" s="18" t="s">
        <v>48</v>
      </c>
      <c r="P14" s="19">
        <v>1.19</v>
      </c>
    </row>
    <row r="15" spans="1:24" ht="16.2" thickBot="1" x14ac:dyDescent="0.35">
      <c r="A15" s="13" t="s">
        <v>30</v>
      </c>
      <c r="B15" s="21">
        <v>0</v>
      </c>
      <c r="C15" s="21">
        <v>0</v>
      </c>
      <c r="D15" s="21">
        <v>0</v>
      </c>
      <c r="E15" s="144">
        <v>1.64</v>
      </c>
      <c r="F15" s="144">
        <v>3.12</v>
      </c>
      <c r="G15" s="145">
        <v>0</v>
      </c>
      <c r="H15" s="144">
        <v>0.57999999999999996</v>
      </c>
      <c r="I15" s="145">
        <v>0</v>
      </c>
      <c r="J15" s="145">
        <v>0</v>
      </c>
      <c r="O15" s="18" t="s">
        <v>49</v>
      </c>
      <c r="P15" s="19">
        <v>0.98</v>
      </c>
    </row>
    <row r="16" spans="1:24" ht="16.8" thickBot="1" x14ac:dyDescent="0.4">
      <c r="A16" s="228" t="s">
        <v>33</v>
      </c>
      <c r="B16" s="229"/>
      <c r="C16" s="229"/>
      <c r="D16" s="229"/>
      <c r="E16" s="229"/>
      <c r="F16" s="229"/>
      <c r="G16" s="229"/>
      <c r="H16" s="229"/>
      <c r="I16" s="229"/>
      <c r="J16" s="230"/>
      <c r="O16" s="18" t="s">
        <v>50</v>
      </c>
      <c r="P16" s="19">
        <v>0.97</v>
      </c>
    </row>
    <row r="17" spans="1:16" ht="16.2" thickBot="1" x14ac:dyDescent="0.35">
      <c r="A17" s="13" t="s">
        <v>35</v>
      </c>
      <c r="B17" s="21">
        <v>0</v>
      </c>
      <c r="C17" s="21">
        <v>0</v>
      </c>
      <c r="D17" s="15">
        <v>0.13400000000000001</v>
      </c>
      <c r="E17" s="22">
        <v>0</v>
      </c>
      <c r="F17" s="22">
        <v>0</v>
      </c>
      <c r="G17" s="22">
        <v>0</v>
      </c>
      <c r="H17" s="22">
        <v>0</v>
      </c>
      <c r="I17" s="22">
        <v>0</v>
      </c>
      <c r="J17" s="22">
        <v>0</v>
      </c>
      <c r="O17" s="18" t="s">
        <v>51</v>
      </c>
      <c r="P17" s="19">
        <v>1.1499999999999999</v>
      </c>
    </row>
    <row r="18" spans="1:16" ht="16.8" thickBot="1" x14ac:dyDescent="0.4">
      <c r="A18" s="228" t="s">
        <v>34</v>
      </c>
      <c r="B18" s="229"/>
      <c r="C18" s="229"/>
      <c r="D18" s="229"/>
      <c r="E18" s="229"/>
      <c r="F18" s="229"/>
      <c r="G18" s="229"/>
      <c r="H18" s="229"/>
      <c r="I18" s="229"/>
      <c r="J18" s="230"/>
      <c r="O18" s="18" t="s">
        <v>52</v>
      </c>
      <c r="P18" s="19">
        <v>1</v>
      </c>
    </row>
    <row r="19" spans="1:16" ht="16.2" thickBot="1" x14ac:dyDescent="0.35">
      <c r="A19" s="13" t="s">
        <v>90</v>
      </c>
      <c r="B19" s="14">
        <v>550000</v>
      </c>
      <c r="C19" s="21">
        <v>0</v>
      </c>
      <c r="D19" s="21">
        <v>0</v>
      </c>
      <c r="E19" s="22">
        <v>0</v>
      </c>
      <c r="F19" s="22">
        <v>0</v>
      </c>
      <c r="G19" s="22">
        <v>0</v>
      </c>
      <c r="H19" s="22">
        <v>0</v>
      </c>
      <c r="I19" s="22">
        <v>0</v>
      </c>
      <c r="J19" s="22">
        <v>0</v>
      </c>
      <c r="O19" s="18" t="s">
        <v>53</v>
      </c>
      <c r="P19" s="19">
        <v>0.94</v>
      </c>
    </row>
    <row r="20" spans="1:16" ht="16.2" thickBot="1" x14ac:dyDescent="0.35">
      <c r="O20" s="18" t="s">
        <v>54</v>
      </c>
      <c r="P20" s="19">
        <v>0.99</v>
      </c>
    </row>
    <row r="21" spans="1:16" ht="16.2" thickBot="1" x14ac:dyDescent="0.35">
      <c r="O21" s="18" t="s">
        <v>55</v>
      </c>
      <c r="P21" s="19">
        <v>0.89</v>
      </c>
    </row>
    <row r="22" spans="1:16" ht="16.2" thickBot="1" x14ac:dyDescent="0.35">
      <c r="O22" s="18" t="s">
        <v>56</v>
      </c>
      <c r="P22" s="19">
        <v>1.2</v>
      </c>
    </row>
    <row r="23" spans="1:16" ht="16.2" thickBot="1" x14ac:dyDescent="0.35">
      <c r="O23" s="18" t="s">
        <v>57</v>
      </c>
      <c r="P23" s="19">
        <v>0.99</v>
      </c>
    </row>
    <row r="24" spans="1:16" ht="16.2" thickBot="1" x14ac:dyDescent="0.35">
      <c r="O24" s="18" t="s">
        <v>58</v>
      </c>
      <c r="P24" s="19">
        <v>1.03</v>
      </c>
    </row>
    <row r="25" spans="1:16" ht="16.2" thickBot="1" x14ac:dyDescent="0.35">
      <c r="O25" s="18" t="s">
        <v>59</v>
      </c>
      <c r="P25" s="19">
        <v>1.04</v>
      </c>
    </row>
    <row r="26" spans="1:16" ht="16.2" thickBot="1" x14ac:dyDescent="0.35">
      <c r="O26" s="18" t="s">
        <v>60</v>
      </c>
      <c r="P26" s="19">
        <v>1.1200000000000001</v>
      </c>
    </row>
    <row r="27" spans="1:16" ht="16.2" thickBot="1" x14ac:dyDescent="0.35">
      <c r="O27" s="18" t="s">
        <v>61</v>
      </c>
      <c r="P27" s="19">
        <v>1.04</v>
      </c>
    </row>
    <row r="28" spans="1:16" ht="16.2" thickBot="1" x14ac:dyDescent="0.35">
      <c r="O28" s="18" t="s">
        <v>62</v>
      </c>
      <c r="P28" s="19">
        <v>0.89</v>
      </c>
    </row>
    <row r="29" spans="1:16" ht="16.2" thickBot="1" x14ac:dyDescent="0.35">
      <c r="O29" s="18" t="s">
        <v>63</v>
      </c>
      <c r="P29" s="19">
        <v>0.97</v>
      </c>
    </row>
    <row r="30" spans="1:16" ht="16.2" thickBot="1" x14ac:dyDescent="0.35">
      <c r="O30" s="18" t="s">
        <v>64</v>
      </c>
      <c r="P30" s="19">
        <v>0.87</v>
      </c>
    </row>
    <row r="31" spans="1:16" ht="16.2" thickBot="1" x14ac:dyDescent="0.35">
      <c r="O31" s="18" t="s">
        <v>65</v>
      </c>
      <c r="P31" s="19">
        <v>0.92</v>
      </c>
    </row>
    <row r="32" spans="1:16" ht="16.2" thickBot="1" x14ac:dyDescent="0.35">
      <c r="O32" s="18" t="s">
        <v>66</v>
      </c>
      <c r="P32" s="19">
        <v>0.97</v>
      </c>
    </row>
    <row r="33" spans="15:16" ht="16.2" thickBot="1" x14ac:dyDescent="0.35">
      <c r="O33" s="18" t="s">
        <v>67</v>
      </c>
      <c r="P33" s="19">
        <v>1.06</v>
      </c>
    </row>
    <row r="34" spans="15:16" ht="16.2" thickBot="1" x14ac:dyDescent="0.35">
      <c r="O34" s="18" t="s">
        <v>68</v>
      </c>
      <c r="P34" s="19">
        <v>1.2</v>
      </c>
    </row>
    <row r="35" spans="15:16" ht="16.2" thickBot="1" x14ac:dyDescent="0.35">
      <c r="O35" s="18" t="s">
        <v>69</v>
      </c>
      <c r="P35" s="19">
        <v>0.92</v>
      </c>
    </row>
    <row r="36" spans="15:16" ht="16.2" thickBot="1" x14ac:dyDescent="0.35">
      <c r="O36" s="18" t="s">
        <v>70</v>
      </c>
      <c r="P36" s="19">
        <v>1.08</v>
      </c>
    </row>
    <row r="37" spans="15:16" ht="16.2" thickBot="1" x14ac:dyDescent="0.35">
      <c r="O37" s="18" t="s">
        <v>71</v>
      </c>
      <c r="P37" s="19">
        <v>1.17</v>
      </c>
    </row>
    <row r="38" spans="15:16" ht="16.2" thickBot="1" x14ac:dyDescent="0.35">
      <c r="O38" s="18" t="s">
        <v>72</v>
      </c>
      <c r="P38" s="19">
        <v>1.02</v>
      </c>
    </row>
    <row r="39" spans="15:16" ht="16.2" thickBot="1" x14ac:dyDescent="0.35">
      <c r="O39" s="18" t="s">
        <v>73</v>
      </c>
      <c r="P39" s="19">
        <v>0.88</v>
      </c>
    </row>
    <row r="40" spans="15:16" ht="16.2" thickBot="1" x14ac:dyDescent="0.35">
      <c r="O40" s="18" t="s">
        <v>74</v>
      </c>
      <c r="P40" s="19">
        <v>1.06</v>
      </c>
    </row>
    <row r="41" spans="15:16" ht="16.2" thickBot="1" x14ac:dyDescent="0.35">
      <c r="O41" s="18" t="s">
        <v>75</v>
      </c>
      <c r="P41" s="19">
        <v>1.0900000000000001</v>
      </c>
    </row>
    <row r="42" spans="15:16" ht="16.2" thickBot="1" x14ac:dyDescent="0.35">
      <c r="O42" s="18" t="s">
        <v>76</v>
      </c>
      <c r="P42" s="19">
        <v>1.1599999999999999</v>
      </c>
    </row>
    <row r="43" spans="15:16" ht="16.2" thickBot="1" x14ac:dyDescent="0.35">
      <c r="O43" s="18" t="s">
        <v>77</v>
      </c>
      <c r="P43" s="19">
        <v>0.87</v>
      </c>
    </row>
    <row r="44" spans="15:16" ht="16.2" thickBot="1" x14ac:dyDescent="0.35">
      <c r="O44" s="18" t="s">
        <v>78</v>
      </c>
      <c r="P44" s="19">
        <v>0.87</v>
      </c>
    </row>
    <row r="45" spans="15:16" ht="16.2" thickBot="1" x14ac:dyDescent="0.35">
      <c r="O45" s="18" t="s">
        <v>79</v>
      </c>
      <c r="P45" s="19">
        <v>0.91</v>
      </c>
    </row>
    <row r="46" spans="15:16" ht="16.2" thickBot="1" x14ac:dyDescent="0.35">
      <c r="O46" s="18" t="s">
        <v>80</v>
      </c>
      <c r="P46" s="19">
        <v>0.89</v>
      </c>
    </row>
    <row r="47" spans="15:16" ht="16.2" thickBot="1" x14ac:dyDescent="0.35">
      <c r="O47" s="18" t="s">
        <v>81</v>
      </c>
      <c r="P47" s="19">
        <v>0.95</v>
      </c>
    </row>
    <row r="48" spans="15:16" ht="16.2" thickBot="1" x14ac:dyDescent="0.35">
      <c r="O48" s="18" t="s">
        <v>82</v>
      </c>
      <c r="P48" s="19">
        <v>0.94</v>
      </c>
    </row>
    <row r="49" spans="15:16" ht="16.2" thickBot="1" x14ac:dyDescent="0.35">
      <c r="O49" s="18" t="s">
        <v>83</v>
      </c>
      <c r="P49" s="19">
        <v>1.01</v>
      </c>
    </row>
    <row r="50" spans="15:16" ht="16.2" thickBot="1" x14ac:dyDescent="0.35">
      <c r="O50" s="18" t="s">
        <v>84</v>
      </c>
      <c r="P50" s="19">
        <v>1.05</v>
      </c>
    </row>
    <row r="51" spans="15:16" ht="16.2" thickBot="1" x14ac:dyDescent="0.35">
      <c r="O51" s="18" t="s">
        <v>85</v>
      </c>
      <c r="P51" s="19">
        <v>1.06</v>
      </c>
    </row>
    <row r="52" spans="15:16" ht="16.2" thickBot="1" x14ac:dyDescent="0.35">
      <c r="O52" s="18" t="s">
        <v>86</v>
      </c>
      <c r="P52" s="19">
        <v>1.04</v>
      </c>
    </row>
    <row r="53" spans="15:16" ht="16.2" thickBot="1" x14ac:dyDescent="0.35">
      <c r="O53" s="18" t="s">
        <v>87</v>
      </c>
      <c r="P53" s="19">
        <v>0.92</v>
      </c>
    </row>
  </sheetData>
  <mergeCells count="7">
    <mergeCell ref="P1:P3"/>
    <mergeCell ref="M1:M2"/>
    <mergeCell ref="A2:J2"/>
    <mergeCell ref="A16:J16"/>
    <mergeCell ref="A18:J18"/>
    <mergeCell ref="L1:L2"/>
    <mergeCell ref="O1: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2"/>
  <sheetViews>
    <sheetView zoomScale="75" zoomScaleNormal="75" workbookViewId="0">
      <selection activeCell="E20" sqref="E20:G20"/>
    </sheetView>
  </sheetViews>
  <sheetFormatPr defaultColWidth="0" defaultRowHeight="18.600000000000001" zeroHeight="1" x14ac:dyDescent="0.3"/>
  <cols>
    <col min="1" max="2" width="8.88671875" style="44" customWidth="1"/>
    <col min="3" max="3" width="41.109375" style="44" customWidth="1"/>
    <col min="4" max="4" width="4.6640625" style="101" customWidth="1"/>
    <col min="5" max="5" width="16.109375" style="53" customWidth="1"/>
    <col min="6" max="6" width="14.109375" style="44" bestFit="1" customWidth="1"/>
    <col min="7" max="7" width="55.6640625" style="53" customWidth="1"/>
    <col min="8" max="9" width="8.88671875" style="44" customWidth="1"/>
    <col min="10" max="16383" width="8.88671875" style="44" hidden="1"/>
    <col min="16384" max="16384" width="34.88671875" style="44" hidden="1"/>
  </cols>
  <sheetData>
    <row r="1" spans="2:8" ht="19.2" thickBot="1" x14ac:dyDescent="0.35"/>
    <row r="2" spans="2:8" x14ac:dyDescent="0.3">
      <c r="B2" s="72"/>
      <c r="C2" s="73"/>
      <c r="D2" s="102"/>
      <c r="E2" s="74"/>
      <c r="F2" s="73"/>
      <c r="G2" s="74"/>
      <c r="H2" s="75"/>
    </row>
    <row r="3" spans="2:8" ht="23.4" x14ac:dyDescent="0.3">
      <c r="B3" s="42"/>
      <c r="C3" s="174" t="s">
        <v>219</v>
      </c>
      <c r="D3" s="174"/>
      <c r="E3" s="175"/>
      <c r="F3" s="175"/>
      <c r="G3" s="175"/>
      <c r="H3" s="43"/>
    </row>
    <row r="4" spans="2:8" ht="19.2" thickBot="1" x14ac:dyDescent="0.35">
      <c r="B4" s="42"/>
      <c r="C4" s="35"/>
      <c r="D4" s="103"/>
      <c r="E4" s="66"/>
      <c r="F4" s="35"/>
      <c r="G4" s="66"/>
      <c r="H4" s="43"/>
    </row>
    <row r="5" spans="2:8" ht="15.6" x14ac:dyDescent="0.3">
      <c r="B5" s="42"/>
      <c r="C5" s="176" t="s">
        <v>220</v>
      </c>
      <c r="D5" s="177"/>
      <c r="E5" s="178"/>
      <c r="F5" s="178"/>
      <c r="G5" s="179"/>
      <c r="H5" s="43"/>
    </row>
    <row r="6" spans="2:8" ht="19.2" thickBot="1" x14ac:dyDescent="0.35">
      <c r="B6" s="42"/>
      <c r="C6" s="105" t="s">
        <v>193</v>
      </c>
      <c r="D6" s="113" t="s">
        <v>278</v>
      </c>
      <c r="E6" s="171"/>
      <c r="F6" s="172"/>
      <c r="G6" s="173"/>
      <c r="H6" s="43"/>
    </row>
    <row r="7" spans="2:8" ht="19.2" thickBot="1" x14ac:dyDescent="0.35">
      <c r="B7" s="42"/>
      <c r="C7" s="106" t="s">
        <v>198</v>
      </c>
      <c r="D7" s="114" t="s">
        <v>279</v>
      </c>
      <c r="E7" s="180"/>
      <c r="F7" s="180"/>
      <c r="G7" s="181"/>
      <c r="H7" s="43"/>
    </row>
    <row r="8" spans="2:8" ht="19.2" thickBot="1" x14ac:dyDescent="0.35">
      <c r="B8" s="42"/>
      <c r="C8" s="106" t="s">
        <v>199</v>
      </c>
      <c r="D8" s="114" t="s">
        <v>280</v>
      </c>
      <c r="E8" s="180"/>
      <c r="F8" s="182"/>
      <c r="G8" s="183"/>
      <c r="H8" s="43"/>
    </row>
    <row r="9" spans="2:8" ht="19.2" thickBot="1" x14ac:dyDescent="0.35">
      <c r="B9" s="42"/>
      <c r="C9" s="106" t="s">
        <v>197</v>
      </c>
      <c r="D9" s="114" t="s">
        <v>281</v>
      </c>
      <c r="E9" s="180"/>
      <c r="F9" s="182"/>
      <c r="G9" s="183"/>
      <c r="H9" s="43"/>
    </row>
    <row r="10" spans="2:8" ht="19.2" thickBot="1" x14ac:dyDescent="0.35">
      <c r="B10" s="42"/>
      <c r="C10" s="106" t="s">
        <v>201</v>
      </c>
      <c r="D10" s="114" t="s">
        <v>282</v>
      </c>
      <c r="E10" s="180"/>
      <c r="F10" s="182"/>
      <c r="G10" s="183"/>
      <c r="H10" s="43"/>
    </row>
    <row r="11" spans="2:8" ht="19.2" thickBot="1" x14ac:dyDescent="0.35">
      <c r="B11" s="42"/>
      <c r="C11" s="106" t="s">
        <v>202</v>
      </c>
      <c r="D11" s="114" t="s">
        <v>283</v>
      </c>
      <c r="E11" s="184"/>
      <c r="F11" s="185"/>
      <c r="G11" s="186"/>
      <c r="H11" s="43"/>
    </row>
    <row r="12" spans="2:8" ht="19.2" thickBot="1" x14ac:dyDescent="0.35">
      <c r="B12" s="42"/>
      <c r="C12" s="106" t="s">
        <v>196</v>
      </c>
      <c r="D12" s="114" t="s">
        <v>284</v>
      </c>
      <c r="E12" s="187"/>
      <c r="F12" s="188"/>
      <c r="G12" s="189"/>
      <c r="H12" s="43"/>
    </row>
    <row r="13" spans="2:8" x14ac:dyDescent="0.3">
      <c r="B13" s="42"/>
      <c r="C13" s="107" t="s">
        <v>206</v>
      </c>
      <c r="D13" s="116" t="s">
        <v>286</v>
      </c>
      <c r="E13" s="190">
        <v>111.65</v>
      </c>
      <c r="F13" s="191"/>
      <c r="G13" s="192"/>
      <c r="H13" s="43"/>
    </row>
    <row r="14" spans="2:8" ht="15.6" x14ac:dyDescent="0.3">
      <c r="B14" s="42"/>
      <c r="C14" s="193" t="s">
        <v>303</v>
      </c>
      <c r="D14" s="194"/>
      <c r="E14" s="195"/>
      <c r="F14" s="195"/>
      <c r="G14" s="196"/>
      <c r="H14" s="43"/>
    </row>
    <row r="15" spans="2:8" ht="19.2" thickBot="1" x14ac:dyDescent="0.35">
      <c r="B15" s="42"/>
      <c r="C15" s="105" t="s">
        <v>408</v>
      </c>
      <c r="D15" s="113" t="s">
        <v>287</v>
      </c>
      <c r="E15" s="171"/>
      <c r="F15" s="172"/>
      <c r="G15" s="173"/>
      <c r="H15" s="43"/>
    </row>
    <row r="16" spans="2:8" ht="19.2" thickBot="1" x14ac:dyDescent="0.35">
      <c r="B16" s="42"/>
      <c r="C16" s="106" t="s">
        <v>204</v>
      </c>
      <c r="D16" s="114" t="s">
        <v>285</v>
      </c>
      <c r="E16" s="180"/>
      <c r="F16" s="182"/>
      <c r="G16" s="183"/>
      <c r="H16" s="43"/>
    </row>
    <row r="17" spans="2:8" ht="19.2" thickBot="1" x14ac:dyDescent="0.35">
      <c r="B17" s="42"/>
      <c r="C17" s="106" t="s">
        <v>205</v>
      </c>
      <c r="D17" s="114" t="s">
        <v>288</v>
      </c>
      <c r="E17" s="180"/>
      <c r="F17" s="182"/>
      <c r="G17" s="183"/>
      <c r="H17" s="43"/>
    </row>
    <row r="18" spans="2:8" ht="19.2" thickBot="1" x14ac:dyDescent="0.35">
      <c r="B18" s="42"/>
      <c r="C18" s="106" t="s">
        <v>194</v>
      </c>
      <c r="D18" s="114" t="s">
        <v>288</v>
      </c>
      <c r="E18" s="180"/>
      <c r="F18" s="182"/>
      <c r="G18" s="183"/>
      <c r="H18" s="43"/>
    </row>
    <row r="19" spans="2:8" ht="19.2" thickBot="1" x14ac:dyDescent="0.35">
      <c r="B19" s="42"/>
      <c r="C19" s="106" t="s">
        <v>203</v>
      </c>
      <c r="D19" s="114" t="s">
        <v>289</v>
      </c>
      <c r="E19" s="184"/>
      <c r="F19" s="185"/>
      <c r="G19" s="186"/>
      <c r="H19" s="43"/>
    </row>
    <row r="20" spans="2:8" ht="19.2" thickBot="1" x14ac:dyDescent="0.35">
      <c r="B20" s="42"/>
      <c r="C20" s="108" t="s">
        <v>195</v>
      </c>
      <c r="D20" s="115" t="s">
        <v>290</v>
      </c>
      <c r="E20" s="197"/>
      <c r="F20" s="180"/>
      <c r="G20" s="181"/>
      <c r="H20" s="43"/>
    </row>
    <row r="21" spans="2:8" ht="19.2" thickBot="1" x14ac:dyDescent="0.35">
      <c r="B21" s="78"/>
      <c r="C21" s="79"/>
      <c r="D21" s="104"/>
      <c r="E21" s="80"/>
      <c r="F21" s="79"/>
      <c r="G21" s="80"/>
      <c r="H21" s="81"/>
    </row>
    <row r="22" spans="2:8" x14ac:dyDescent="0.3"/>
  </sheetData>
  <sheetProtection algorithmName="SHA-512" hashValue="Zjvivi2cyI47QY2vHwVgXsfBB+MQT1vz/5rTo2zW403MzlaH9RWLtoGwE5jBJrmQIBD2ucBnLZF7O0nE4czEtw==" saltValue="RK3u3Pv1Dh/YBTRL0dzf3w==" spinCount="100000" sheet="1" selectLockedCells="1"/>
  <mergeCells count="17">
    <mergeCell ref="E20:G20"/>
    <mergeCell ref="E16:G16"/>
    <mergeCell ref="E17:G17"/>
    <mergeCell ref="E18:G18"/>
    <mergeCell ref="E19:G19"/>
    <mergeCell ref="E15:G15"/>
    <mergeCell ref="C3:G3"/>
    <mergeCell ref="C5:G5"/>
    <mergeCell ref="E6:G6"/>
    <mergeCell ref="E7:G7"/>
    <mergeCell ref="E8:G8"/>
    <mergeCell ref="E9:G9"/>
    <mergeCell ref="E10:G10"/>
    <mergeCell ref="E11:G11"/>
    <mergeCell ref="E12:G12"/>
    <mergeCell ref="E13:G13"/>
    <mergeCell ref="C14:G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75" zoomScaleNormal="75" workbookViewId="0">
      <selection activeCell="E6" sqref="E6"/>
    </sheetView>
  </sheetViews>
  <sheetFormatPr defaultColWidth="0" defaultRowHeight="15" zeroHeight="1" x14ac:dyDescent="0.25"/>
  <cols>
    <col min="1" max="2" width="8.88671875" style="1" customWidth="1"/>
    <col min="3" max="3" width="43.6640625" style="1" customWidth="1"/>
    <col min="4" max="4" width="7.5546875" style="117" customWidth="1"/>
    <col min="5" max="5" width="16.5546875" style="31" customWidth="1"/>
    <col min="6" max="6" width="39.6640625" style="1" customWidth="1"/>
    <col min="7" max="8" width="8.88671875" style="1" customWidth="1"/>
    <col min="9" max="16384" width="8.88671875" style="1" hidden="1"/>
  </cols>
  <sheetData>
    <row r="1" spans="2:7" ht="15.6" thickBot="1" x14ac:dyDescent="0.3"/>
    <row r="2" spans="2:7" x14ac:dyDescent="0.25">
      <c r="B2" s="2"/>
      <c r="C2" s="26"/>
      <c r="D2" s="118"/>
      <c r="E2" s="32"/>
      <c r="F2" s="26"/>
      <c r="G2" s="3"/>
    </row>
    <row r="3" spans="2:7" ht="23.4" x14ac:dyDescent="0.45">
      <c r="B3" s="4"/>
      <c r="C3" s="198" t="s">
        <v>184</v>
      </c>
      <c r="D3" s="198"/>
      <c r="E3" s="199"/>
      <c r="F3" s="199"/>
      <c r="G3" s="5"/>
    </row>
    <row r="4" spans="2:7" ht="23.4" x14ac:dyDescent="0.45">
      <c r="B4" s="4"/>
      <c r="C4" s="100"/>
      <c r="D4" s="100"/>
      <c r="E4" s="143"/>
      <c r="F4" s="143"/>
      <c r="G4" s="5"/>
    </row>
    <row r="5" spans="2:7" ht="15.6" thickBot="1" x14ac:dyDescent="0.3">
      <c r="B5" s="4"/>
      <c r="C5" s="6"/>
      <c r="D5" s="119" t="s">
        <v>302</v>
      </c>
      <c r="E5" s="33"/>
      <c r="F5" s="6"/>
      <c r="G5" s="5"/>
    </row>
    <row r="6" spans="2:7" ht="19.2" thickBot="1" x14ac:dyDescent="0.45">
      <c r="B6" s="4"/>
      <c r="C6" s="6" t="s">
        <v>275</v>
      </c>
      <c r="D6" s="125" t="s">
        <v>291</v>
      </c>
      <c r="E6" s="123"/>
      <c r="F6" s="6" t="s">
        <v>222</v>
      </c>
      <c r="G6" s="5"/>
    </row>
    <row r="7" spans="2:7" ht="19.2" thickBot="1" x14ac:dyDescent="0.3">
      <c r="B7" s="4"/>
      <c r="C7" s="35" t="s">
        <v>98</v>
      </c>
      <c r="D7" s="114" t="s">
        <v>292</v>
      </c>
      <c r="E7" s="200"/>
      <c r="F7" s="201"/>
      <c r="G7" s="5"/>
    </row>
    <row r="8" spans="2:7" ht="19.2" thickBot="1" x14ac:dyDescent="0.3">
      <c r="B8" s="4"/>
      <c r="C8" s="35" t="s">
        <v>99</v>
      </c>
      <c r="D8" s="114" t="s">
        <v>293</v>
      </c>
      <c r="E8" s="200"/>
      <c r="F8" s="201"/>
      <c r="G8" s="5"/>
    </row>
    <row r="9" spans="2:7" ht="19.2" thickBot="1" x14ac:dyDescent="0.3">
      <c r="B9" s="4"/>
      <c r="C9" s="35" t="s">
        <v>100</v>
      </c>
      <c r="D9" s="114" t="s">
        <v>294</v>
      </c>
      <c r="E9" s="200"/>
      <c r="F9" s="201"/>
      <c r="G9" s="5"/>
    </row>
    <row r="10" spans="2:7" ht="19.2" thickBot="1" x14ac:dyDescent="0.3">
      <c r="B10" s="4"/>
      <c r="C10" s="35" t="s">
        <v>273</v>
      </c>
      <c r="D10" s="114" t="s">
        <v>295</v>
      </c>
      <c r="E10" s="127"/>
      <c r="F10" s="35" t="s">
        <v>120</v>
      </c>
      <c r="G10" s="5"/>
    </row>
    <row r="11" spans="2:7" ht="19.2" thickBot="1" x14ac:dyDescent="0.45">
      <c r="B11" s="4"/>
      <c r="C11" s="6" t="s">
        <v>276</v>
      </c>
      <c r="D11" s="125" t="s">
        <v>296</v>
      </c>
      <c r="E11" s="123"/>
      <c r="F11" s="6" t="s">
        <v>222</v>
      </c>
      <c r="G11" s="5"/>
    </row>
    <row r="12" spans="2:7" ht="19.2" thickBot="1" x14ac:dyDescent="0.45">
      <c r="B12" s="4"/>
      <c r="C12" s="6" t="s">
        <v>271</v>
      </c>
      <c r="D12" s="125" t="s">
        <v>297</v>
      </c>
      <c r="E12" s="123"/>
      <c r="F12" s="6" t="s">
        <v>222</v>
      </c>
      <c r="G12" s="5"/>
    </row>
    <row r="13" spans="2:7" ht="19.2" thickBot="1" x14ac:dyDescent="0.45">
      <c r="B13" s="4"/>
      <c r="C13" s="6" t="s">
        <v>304</v>
      </c>
      <c r="D13" s="125" t="s">
        <v>306</v>
      </c>
      <c r="E13" s="123"/>
      <c r="F13" s="6" t="s">
        <v>222</v>
      </c>
      <c r="G13" s="5"/>
    </row>
    <row r="14" spans="2:7" ht="19.2" thickBot="1" x14ac:dyDescent="0.45">
      <c r="B14" s="4"/>
      <c r="C14" s="6" t="s">
        <v>305</v>
      </c>
      <c r="D14" s="125" t="s">
        <v>307</v>
      </c>
      <c r="E14" s="123"/>
      <c r="F14" s="6" t="s">
        <v>222</v>
      </c>
      <c r="G14" s="5"/>
    </row>
    <row r="15" spans="2:7" ht="15.6" x14ac:dyDescent="0.3">
      <c r="B15" s="4"/>
      <c r="C15" s="36" t="s">
        <v>272</v>
      </c>
      <c r="D15" s="120"/>
      <c r="E15" s="37">
        <f>SUM(E13:E14)</f>
        <v>0</v>
      </c>
      <c r="F15" s="7" t="s">
        <v>222</v>
      </c>
      <c r="G15" s="5"/>
    </row>
    <row r="16" spans="2:7" ht="16.2" thickBot="1" x14ac:dyDescent="0.35">
      <c r="B16" s="4"/>
      <c r="C16" s="36" t="s">
        <v>123</v>
      </c>
      <c r="D16" s="120"/>
      <c r="E16" s="37">
        <f>E13</f>
        <v>0</v>
      </c>
      <c r="F16" s="7" t="s">
        <v>222</v>
      </c>
      <c r="G16" s="5"/>
    </row>
    <row r="17" spans="2:7" ht="19.2" thickBot="1" x14ac:dyDescent="0.45">
      <c r="B17" s="4"/>
      <c r="C17" s="6" t="s">
        <v>274</v>
      </c>
      <c r="D17" s="125" t="s">
        <v>308</v>
      </c>
      <c r="E17" s="123"/>
      <c r="F17" s="6" t="s">
        <v>222</v>
      </c>
      <c r="G17" s="5"/>
    </row>
    <row r="18" spans="2:7" ht="19.2" thickBot="1" x14ac:dyDescent="0.45">
      <c r="B18" s="4"/>
      <c r="C18" s="6" t="s">
        <v>277</v>
      </c>
      <c r="D18" s="125" t="s">
        <v>309</v>
      </c>
      <c r="E18" s="123"/>
      <c r="F18" s="6" t="s">
        <v>222</v>
      </c>
      <c r="G18" s="5"/>
    </row>
    <row r="19" spans="2:7" ht="19.2" thickBot="1" x14ac:dyDescent="0.45">
      <c r="B19" s="4"/>
      <c r="C19" s="6" t="s">
        <v>217</v>
      </c>
      <c r="D19" s="125" t="s">
        <v>310</v>
      </c>
      <c r="E19" s="122"/>
      <c r="F19" s="6"/>
      <c r="G19" s="5"/>
    </row>
    <row r="20" spans="2:7" ht="19.2" thickBot="1" x14ac:dyDescent="0.45">
      <c r="B20" s="4"/>
      <c r="C20" s="6" t="s">
        <v>223</v>
      </c>
      <c r="D20" s="125" t="s">
        <v>311</v>
      </c>
      <c r="E20" s="124"/>
      <c r="F20" s="6" t="s">
        <v>120</v>
      </c>
      <c r="G20" s="5"/>
    </row>
    <row r="21" spans="2:7" ht="19.2" thickBot="1" x14ac:dyDescent="0.45">
      <c r="B21" s="4"/>
      <c r="C21" s="6" t="s">
        <v>94</v>
      </c>
      <c r="D21" s="125" t="s">
        <v>298</v>
      </c>
      <c r="E21" s="123"/>
      <c r="F21" s="6" t="s">
        <v>95</v>
      </c>
      <c r="G21" s="5"/>
    </row>
    <row r="22" spans="2:7" ht="19.2" thickBot="1" x14ac:dyDescent="0.45">
      <c r="B22" s="4"/>
      <c r="C22" s="6" t="s">
        <v>409</v>
      </c>
      <c r="D22" s="125" t="s">
        <v>299</v>
      </c>
      <c r="E22" s="123"/>
      <c r="F22" s="6" t="s">
        <v>95</v>
      </c>
      <c r="G22" s="5"/>
    </row>
    <row r="23" spans="2:7" ht="15.6" x14ac:dyDescent="0.3">
      <c r="B23" s="4"/>
      <c r="C23" s="36" t="s">
        <v>122</v>
      </c>
      <c r="D23" s="120"/>
      <c r="E23" s="37">
        <f>SUM(E6:E6,E11:E12,E13:E14,E17:E18)</f>
        <v>0</v>
      </c>
      <c r="F23" s="7" t="s">
        <v>222</v>
      </c>
      <c r="G23" s="5"/>
    </row>
    <row r="24" spans="2:7" ht="16.2" thickBot="1" x14ac:dyDescent="0.35">
      <c r="B24" s="4"/>
      <c r="C24" s="36" t="s">
        <v>121</v>
      </c>
      <c r="D24" s="120"/>
      <c r="E24" s="37">
        <f>(0.05*E21*E23*0.05166)+E10+E20</f>
        <v>0</v>
      </c>
      <c r="F24" s="7" t="s">
        <v>120</v>
      </c>
      <c r="G24" s="5"/>
    </row>
    <row r="25" spans="2:7" ht="19.2" thickBot="1" x14ac:dyDescent="0.45">
      <c r="B25" s="4"/>
      <c r="C25" s="6" t="s">
        <v>101</v>
      </c>
      <c r="D25" s="126" t="s">
        <v>300</v>
      </c>
      <c r="E25" s="122"/>
      <c r="F25" s="6"/>
      <c r="G25" s="5"/>
    </row>
    <row r="26" spans="2:7" ht="19.2" thickBot="1" x14ac:dyDescent="0.45">
      <c r="B26" s="4"/>
      <c r="C26" s="6" t="s">
        <v>36</v>
      </c>
      <c r="D26" s="126" t="s">
        <v>301</v>
      </c>
      <c r="E26" s="122"/>
      <c r="F26" s="6"/>
      <c r="G26" s="5"/>
    </row>
    <row r="27" spans="2:7" ht="15.6" thickBot="1" x14ac:dyDescent="0.3">
      <c r="B27" s="8"/>
      <c r="C27" s="9"/>
      <c r="D27" s="121"/>
      <c r="E27" s="34"/>
      <c r="F27" s="9"/>
      <c r="G27" s="10"/>
    </row>
    <row r="28" spans="2:7" x14ac:dyDescent="0.25"/>
  </sheetData>
  <sheetProtection algorithmName="SHA-512" hashValue="PKf+iOME6KfpLh2Azd4SOzVjr+RKd+5MliP0d9tHcsbWd9R28FPrcmNGnq+C/pfFyyuA7NTCGxWTxFVFx+Bmtg==" saltValue="bLXDxCT8Gsx0dAKn30c4tA==" spinCount="100000" sheet="1" selectLockedCells="1"/>
  <mergeCells count="4">
    <mergeCell ref="C3:F3"/>
    <mergeCell ref="E9:F9"/>
    <mergeCell ref="E7:F7"/>
    <mergeCell ref="E8:F8"/>
  </mergeCells>
  <pageMargins left="0.7" right="0.7" top="0.75" bottom="0.75" header="0.3" footer="0.3"/>
  <pageSetup orientation="landscape" r:id="rId1"/>
  <ignoredErrors>
    <ignoredError sqref="E15" formulaRange="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Equations!$T$3:$T$5</xm:f>
          </x14:formula1>
          <xm:sqref>E7:E9</xm:sqref>
        </x14:dataValidation>
        <x14:dataValidation type="list" allowBlank="1" showInputMessage="1" showErrorMessage="1">
          <x14:formula1>
            <xm:f>Equations!$T$3:$T$4</xm:f>
          </x14:formula1>
          <xm:sqref>E19</xm:sqref>
        </x14:dataValidation>
        <x14:dataValidation type="list" allowBlank="1" showInputMessage="1" showErrorMessage="1">
          <x14:formula1>
            <xm:f>Equations!$L$3:$L$12</xm:f>
          </x14:formula1>
          <xm:sqref>E25</xm:sqref>
        </x14:dataValidation>
        <x14:dataValidation type="list" allowBlank="1" showInputMessage="1" showErrorMessage="1">
          <x14:formula1>
            <xm:f>Equations!$O$4:$O$53</xm:f>
          </x14:formula1>
          <xm:sqref>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75" zoomScaleNormal="75" workbookViewId="0">
      <pane xSplit="4" ySplit="4" topLeftCell="E5" activePane="bottomRight" state="frozen"/>
      <selection pane="topRight" activeCell="E1" sqref="E1"/>
      <selection pane="bottomLeft" activeCell="A5" sqref="A5"/>
      <selection pane="bottomRight" activeCell="E5" sqref="E5"/>
    </sheetView>
  </sheetViews>
  <sheetFormatPr defaultColWidth="0" defaultRowHeight="15" zeroHeight="1" x14ac:dyDescent="0.25"/>
  <cols>
    <col min="1" max="2" width="8.88671875" style="1" customWidth="1"/>
    <col min="3" max="3" width="94.5546875" style="27" customWidth="1"/>
    <col min="4" max="4" width="11.33203125" style="128"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129"/>
      <c r="E2" s="26"/>
      <c r="F2" s="26"/>
      <c r="G2" s="26"/>
      <c r="H2" s="26"/>
      <c r="I2" s="26"/>
      <c r="J2" s="3"/>
    </row>
    <row r="3" spans="2:10" s="44" customFormat="1" ht="22.8" x14ac:dyDescent="0.3">
      <c r="B3" s="42"/>
      <c r="C3" s="204" t="s">
        <v>130</v>
      </c>
      <c r="D3" s="139"/>
      <c r="E3" s="202" t="s">
        <v>312</v>
      </c>
      <c r="F3" s="202" t="s">
        <v>313</v>
      </c>
      <c r="G3" s="202" t="s">
        <v>320</v>
      </c>
      <c r="H3" s="202" t="s">
        <v>414</v>
      </c>
      <c r="I3" s="202" t="s">
        <v>129</v>
      </c>
      <c r="J3" s="43"/>
    </row>
    <row r="4" spans="2:10" s="47" customFormat="1" ht="124.2" customHeight="1" thickBot="1" x14ac:dyDescent="0.35">
      <c r="B4" s="45"/>
      <c r="C4" s="205"/>
      <c r="D4" s="140" t="s">
        <v>302</v>
      </c>
      <c r="E4" s="206"/>
      <c r="F4" s="206"/>
      <c r="G4" s="206"/>
      <c r="H4" s="206"/>
      <c r="I4" s="203"/>
      <c r="J4" s="46"/>
    </row>
    <row r="5" spans="2:10" s="44" customFormat="1" ht="109.2" customHeight="1" thickBot="1" x14ac:dyDescent="0.35">
      <c r="B5" s="42"/>
      <c r="C5" s="48" t="s">
        <v>113</v>
      </c>
      <c r="D5" s="130" t="s">
        <v>314</v>
      </c>
      <c r="E5" s="111"/>
      <c r="F5" s="98"/>
      <c r="G5" s="98"/>
      <c r="H5" s="98"/>
      <c r="I5" s="40" t="str">
        <f>IF(E5=Equations!$T$2,"Meet",IF('3) Open Pit Criteria'!E5=Equations!$T$3,IF('3) Open Pit Criteria'!F5=Equations!$T$3,IF('3) Open Pit Criteria'!G5=Equations!$T$3,IF('3) Open Pit Criteria'!H5=Equations!$T$3,"Meet","Inadequate"),"Inadequate"),"Inadequate"),"Inadequate"))</f>
        <v>Inadequate</v>
      </c>
      <c r="J5" s="43"/>
    </row>
    <row r="6" spans="2:10" s="44" customFormat="1" ht="34.950000000000003" customHeight="1" thickBot="1" x14ac:dyDescent="0.35">
      <c r="B6" s="42"/>
      <c r="C6" s="48" t="s">
        <v>114</v>
      </c>
      <c r="D6" s="130" t="s">
        <v>315</v>
      </c>
      <c r="E6" s="111"/>
      <c r="F6" s="98"/>
      <c r="G6" s="98"/>
      <c r="H6" s="98"/>
      <c r="I6" s="40" t="str">
        <f>IF(E6=Equations!$T$2,"Meet",IF('3) Open Pit Criteria'!E6=Equations!$T$3,IF('3) Open Pit Criteria'!F6=Equations!$T$3,IF('3) Open Pit Criteria'!G6=Equations!$T$3,IF('3) Open Pit Criteria'!H6=Equations!$T$3,"Meet","Inadequate"),"Inadequate"),"Inadequate"),"Inadequate"))</f>
        <v>Inadequate</v>
      </c>
      <c r="J6" s="43"/>
    </row>
    <row r="7" spans="2:10" s="44" customFormat="1" ht="94.95" customHeight="1" thickBot="1" x14ac:dyDescent="0.35">
      <c r="B7" s="42"/>
      <c r="C7" s="48" t="s">
        <v>115</v>
      </c>
      <c r="D7" s="130" t="s">
        <v>316</v>
      </c>
      <c r="E7" s="111"/>
      <c r="F7" s="98"/>
      <c r="G7" s="98"/>
      <c r="H7" s="98"/>
      <c r="I7" s="40" t="str">
        <f>IF(E7=Equations!$T$2,"Meet",IF('3) Open Pit Criteria'!E7=Equations!$T$3,IF('3) Open Pit Criteria'!F7=Equations!$T$3,IF('3) Open Pit Criteria'!G7=Equations!$T$3,IF('3) Open Pit Criteria'!H7=Equations!$T$3,"Meet","Inadequate"),"Inadequate"),"Inadequate"),"Inadequate"))</f>
        <v>Inadequate</v>
      </c>
      <c r="J7" s="43"/>
    </row>
    <row r="8" spans="2:10" s="44" customFormat="1" ht="158.4" customHeight="1" thickBot="1" x14ac:dyDescent="0.35">
      <c r="B8" s="42"/>
      <c r="C8" s="48" t="s">
        <v>116</v>
      </c>
      <c r="D8" s="130" t="s">
        <v>317</v>
      </c>
      <c r="E8" s="111"/>
      <c r="F8" s="98"/>
      <c r="G8" s="98"/>
      <c r="H8" s="98"/>
      <c r="I8" s="40" t="str">
        <f>IF(E8=Equations!$T$2,"Meet",IF('3) Open Pit Criteria'!E8=Equations!$T$3,IF('3) Open Pit Criteria'!F8=Equations!$T$3,IF('3) Open Pit Criteria'!G8=Equations!$T$3,IF('3) Open Pit Criteria'!H8=Equations!$T$3,"Meet","Inadequate"),"Inadequate"),"Inadequate"),"Inadequate"))</f>
        <v>Inadequate</v>
      </c>
      <c r="J8" s="43"/>
    </row>
    <row r="9" spans="2:10" s="44" customFormat="1" ht="34.200000000000003" customHeight="1" thickBot="1" x14ac:dyDescent="0.35">
      <c r="B9" s="42"/>
      <c r="C9" s="48" t="s">
        <v>137</v>
      </c>
      <c r="D9" s="130" t="s">
        <v>318</v>
      </c>
      <c r="E9" s="111"/>
      <c r="F9" s="98"/>
      <c r="G9" s="98"/>
      <c r="H9" s="98"/>
      <c r="I9" s="40" t="str">
        <f>IF(E9=Equations!$T$2,"Meet",IF('3) Open Pit Criteria'!E9=Equations!$T$3,IF('3) Open Pit Criteria'!F9=Equations!$T$3,IF('3) Open Pit Criteria'!G9=Equations!$T$3,IF('3) Open Pit Criteria'!H9=Equations!$T$3,"Meet","Inadequate"),"Inadequate"),"Inadequate"),"Inadequate"))</f>
        <v>Inadequate</v>
      </c>
      <c r="J9" s="43"/>
    </row>
    <row r="10" spans="2:10" s="44" customFormat="1" ht="21" x14ac:dyDescent="0.3">
      <c r="B10" s="42"/>
      <c r="C10" s="135"/>
      <c r="D10" s="135"/>
      <c r="E10" s="135"/>
      <c r="F10" s="135"/>
      <c r="G10" s="135"/>
      <c r="H10" s="146" t="s">
        <v>327</v>
      </c>
      <c r="I10" s="147" t="str">
        <f>IF(COUNTIF(I5:I9,"Meet")=5,"Yes","No")</f>
        <v>No</v>
      </c>
      <c r="J10" s="43"/>
    </row>
    <row r="11" spans="2:10" ht="15.6" thickBot="1" x14ac:dyDescent="0.3">
      <c r="B11" s="8"/>
      <c r="C11" s="30"/>
      <c r="D11" s="131"/>
      <c r="E11" s="9"/>
      <c r="F11" s="9"/>
      <c r="G11" s="9"/>
      <c r="H11" s="9"/>
      <c r="I11" s="9"/>
      <c r="J11" s="10"/>
    </row>
    <row r="12" spans="2:10" x14ac:dyDescent="0.25"/>
  </sheetData>
  <sheetProtection algorithmName="SHA-512" hashValue="KOUBfcPRs6CkWkYBCo2ByU5y3euqT6/jkOSJ1+3aXz5Ob7TYDjflYh2oV1IFm7FsoPi3sTkAnjOFzG19uCkiTw==" saltValue="jo+XE4YjokzB388r+sOfPw==" spinCount="100000" sheet="1" selectLockedCells="1"/>
  <mergeCells count="6">
    <mergeCell ref="I3:I4"/>
    <mergeCell ref="C3:C4"/>
    <mergeCell ref="E3:E4"/>
    <mergeCell ref="F3:F4"/>
    <mergeCell ref="G3:G4"/>
    <mergeCell ref="H3:H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75" zoomScaleNormal="75" workbookViewId="0">
      <pane xSplit="4" ySplit="4" topLeftCell="E5" activePane="bottomRight" state="frozen"/>
      <selection pane="topRight" activeCell="E1" sqref="E1"/>
      <selection pane="bottomLeft" activeCell="A5" sqref="A5"/>
      <selection pane="bottomRight" activeCell="E5" sqref="E5"/>
    </sheetView>
  </sheetViews>
  <sheetFormatPr defaultColWidth="8.88671875" defaultRowHeight="15" zeroHeight="1" x14ac:dyDescent="0.25"/>
  <cols>
    <col min="1" max="2" width="8.88671875" style="1"/>
    <col min="3" max="3" width="94.5546875" style="27" customWidth="1"/>
    <col min="4" max="4" width="11.33203125" style="132" customWidth="1"/>
    <col min="5" max="8" width="37.6640625" style="1" customWidth="1"/>
    <col min="9" max="9" width="17.33203125" style="1" customWidth="1"/>
    <col min="10" max="13" width="37.6640625" style="1" customWidth="1"/>
    <col min="14" max="14" width="19.109375" style="1" customWidth="1"/>
    <col min="15" max="18" width="37.6640625" style="1" customWidth="1"/>
    <col min="19" max="19" width="17.33203125" style="1" customWidth="1"/>
    <col min="20" max="16384" width="8.88671875" style="1"/>
  </cols>
  <sheetData>
    <row r="1" spans="2:20" ht="15.6" thickBot="1" x14ac:dyDescent="0.3"/>
    <row r="2" spans="2:20" x14ac:dyDescent="0.25">
      <c r="B2" s="2"/>
      <c r="C2" s="29"/>
      <c r="D2" s="133"/>
      <c r="E2" s="26"/>
      <c r="F2" s="26"/>
      <c r="G2" s="26"/>
      <c r="H2" s="26"/>
      <c r="I2" s="26"/>
      <c r="J2" s="26"/>
      <c r="K2" s="26"/>
      <c r="L2" s="26"/>
      <c r="M2" s="26"/>
      <c r="N2" s="26"/>
      <c r="O2" s="26"/>
      <c r="P2" s="26"/>
      <c r="Q2" s="26"/>
      <c r="R2" s="26"/>
      <c r="S2" s="26"/>
      <c r="T2" s="3"/>
    </row>
    <row r="3" spans="2:20" s="44" customFormat="1" ht="22.8" x14ac:dyDescent="0.3">
      <c r="B3" s="42"/>
      <c r="C3" s="207" t="s">
        <v>131</v>
      </c>
      <c r="D3" s="138"/>
      <c r="E3" s="209" t="s">
        <v>98</v>
      </c>
      <c r="F3" s="210"/>
      <c r="G3" s="210"/>
      <c r="H3" s="210"/>
      <c r="I3" s="210"/>
      <c r="J3" s="210" t="s">
        <v>99</v>
      </c>
      <c r="K3" s="210"/>
      <c r="L3" s="210"/>
      <c r="M3" s="210"/>
      <c r="N3" s="210"/>
      <c r="O3" s="210" t="s">
        <v>100</v>
      </c>
      <c r="P3" s="210"/>
      <c r="Q3" s="210"/>
      <c r="R3" s="210"/>
      <c r="S3" s="210"/>
      <c r="T3" s="43"/>
    </row>
    <row r="4" spans="2:20" s="47" customFormat="1" ht="136.19999999999999" customHeight="1" thickBot="1" x14ac:dyDescent="0.35">
      <c r="B4" s="45"/>
      <c r="C4" s="208"/>
      <c r="D4" s="154" t="s">
        <v>302</v>
      </c>
      <c r="E4" s="109" t="s">
        <v>319</v>
      </c>
      <c r="F4" s="41" t="s">
        <v>313</v>
      </c>
      <c r="G4" s="41" t="s">
        <v>320</v>
      </c>
      <c r="H4" s="109" t="s">
        <v>415</v>
      </c>
      <c r="I4" s="28" t="s">
        <v>129</v>
      </c>
      <c r="J4" s="109" t="s">
        <v>319</v>
      </c>
      <c r="K4" s="41" t="s">
        <v>313</v>
      </c>
      <c r="L4" s="41" t="s">
        <v>320</v>
      </c>
      <c r="M4" s="109" t="s">
        <v>415</v>
      </c>
      <c r="N4" s="28" t="s">
        <v>129</v>
      </c>
      <c r="O4" s="109" t="s">
        <v>319</v>
      </c>
      <c r="P4" s="41" t="s">
        <v>313</v>
      </c>
      <c r="Q4" s="41" t="s">
        <v>320</v>
      </c>
      <c r="R4" s="109" t="s">
        <v>415</v>
      </c>
      <c r="S4" s="28" t="s">
        <v>129</v>
      </c>
      <c r="T4" s="46"/>
    </row>
    <row r="5" spans="2:20" s="44" customFormat="1" ht="37.200000000000003" customHeight="1" thickBot="1" x14ac:dyDescent="0.35">
      <c r="B5" s="42"/>
      <c r="C5" s="112" t="s">
        <v>139</v>
      </c>
      <c r="D5" s="130" t="s">
        <v>321</v>
      </c>
      <c r="E5" s="98"/>
      <c r="F5" s="98"/>
      <c r="G5" s="98"/>
      <c r="H5" s="98"/>
      <c r="I5" s="39" t="str">
        <f>IF(E5=Equations!$T$2,"Meet",IF('4) Underground Mine Criteria'!E5=Equations!$T$3,IF('4) Underground Mine Criteria'!F5=Equations!$T$3,IF('4) Underground Mine Criteria'!G5=Equations!$T$3,IF('4) Underground Mine Criteria'!H5=Equations!$T$3,"Meet","Inadequate"),"Inadequate"),"Inadequate"),"Inadequate"))</f>
        <v>Inadequate</v>
      </c>
      <c r="J5" s="98"/>
      <c r="K5" s="98"/>
      <c r="L5" s="98"/>
      <c r="M5" s="98"/>
      <c r="N5" s="39" t="str">
        <f>IF(J5=Equations!$T$2,"Meet",IF('4) Underground Mine Criteria'!J5=Equations!$T$3,IF('4) Underground Mine Criteria'!K5=Equations!$T$3,IF('4) Underground Mine Criteria'!L5=Equations!$T$3,IF('4) Underground Mine Criteria'!M5=Equations!$T$3,"Meet","Inadequate"),"Inadequate"),"Inadequate"),"Inadequate"))</f>
        <v>Inadequate</v>
      </c>
      <c r="O5" s="98"/>
      <c r="P5" s="98"/>
      <c r="Q5" s="98"/>
      <c r="R5" s="98"/>
      <c r="S5" s="58" t="str">
        <f>IF(O5=Equations!$T$2,"Meet",IF('4) Underground Mine Criteria'!O5=Equations!$T$3,IF('4) Underground Mine Criteria'!P5=Equations!$T$3,IF('4) Underground Mine Criteria'!Q5=Equations!$T$3,IF('4) Underground Mine Criteria'!R5=Equations!$T$3,"Meet","Inadequate"),"Inadequate"),"Inadequate"),"Inadequate"))</f>
        <v>Inadequate</v>
      </c>
      <c r="T5" s="43"/>
    </row>
    <row r="6" spans="2:20" s="44" customFormat="1" ht="68.400000000000006" customHeight="1" thickBot="1" x14ac:dyDescent="0.35">
      <c r="B6" s="42"/>
      <c r="C6" s="112" t="s">
        <v>132</v>
      </c>
      <c r="D6" s="130" t="s">
        <v>322</v>
      </c>
      <c r="E6" s="111"/>
      <c r="F6" s="98"/>
      <c r="G6" s="98"/>
      <c r="H6" s="98"/>
      <c r="I6" s="39" t="str">
        <f>IF(E6=Equations!$T$2,"Meet",IF('4) Underground Mine Criteria'!E6=Equations!$T$3,IF('4) Underground Mine Criteria'!F6=Equations!$T$3,IF('4) Underground Mine Criteria'!G6=Equations!$T$3,IF('4) Underground Mine Criteria'!H6=Equations!$T$3,"Meet","Inadequate"),"Inadequate"),"Inadequate"),"Inadequate"))</f>
        <v>Inadequate</v>
      </c>
      <c r="J6" s="98"/>
      <c r="K6" s="98"/>
      <c r="L6" s="98"/>
      <c r="M6" s="98"/>
      <c r="N6" s="39" t="str">
        <f>IF(J6=Equations!$T$2,"Meet",IF('4) Underground Mine Criteria'!J6=Equations!$T$3,IF('4) Underground Mine Criteria'!K6=Equations!$T$3,IF('4) Underground Mine Criteria'!L6=Equations!$T$3,IF('4) Underground Mine Criteria'!M6=Equations!$T$3,"Meet","Inadequate"),"Inadequate"),"Inadequate"),"Inadequate"))</f>
        <v>Inadequate</v>
      </c>
      <c r="O6" s="98"/>
      <c r="P6" s="98"/>
      <c r="Q6" s="98"/>
      <c r="R6" s="98"/>
      <c r="S6" s="58" t="str">
        <f>IF(O6=Equations!$T$2,"Meet",IF('4) Underground Mine Criteria'!O6=Equations!$T$3,IF('4) Underground Mine Criteria'!P6=Equations!$T$3,IF('4) Underground Mine Criteria'!Q6=Equations!$T$3,IF('4) Underground Mine Criteria'!R6=Equations!$T$3,"Meet","Inadequate"),"Inadequate"),"Inadequate"),"Inadequate"))</f>
        <v>Inadequate</v>
      </c>
      <c r="T6" s="43"/>
    </row>
    <row r="7" spans="2:20" s="44" customFormat="1" ht="33" customHeight="1" thickBot="1" x14ac:dyDescent="0.35">
      <c r="B7" s="42"/>
      <c r="C7" s="112" t="s">
        <v>133</v>
      </c>
      <c r="D7" s="130" t="s">
        <v>323</v>
      </c>
      <c r="E7" s="111"/>
      <c r="F7" s="98"/>
      <c r="G7" s="98"/>
      <c r="H7" s="98"/>
      <c r="I7" s="39" t="str">
        <f>IF(E7=Equations!$T$2,"Meet",IF('4) Underground Mine Criteria'!E7=Equations!$T$3,IF('4) Underground Mine Criteria'!F7=Equations!$T$3,IF('4) Underground Mine Criteria'!G7=Equations!$T$3,IF('4) Underground Mine Criteria'!H7=Equations!$T$3,"Meet","Inadequate"),"Inadequate"),"Inadequate"),"Inadequate"))</f>
        <v>Inadequate</v>
      </c>
      <c r="J7" s="98"/>
      <c r="K7" s="98"/>
      <c r="L7" s="98"/>
      <c r="M7" s="98"/>
      <c r="N7" s="39" t="str">
        <f>IF(J7=Equations!$T$2,"Meet",IF('4) Underground Mine Criteria'!J7=Equations!$T$3,IF('4) Underground Mine Criteria'!K7=Equations!$T$3,IF('4) Underground Mine Criteria'!L7=Equations!$T$3,IF('4) Underground Mine Criteria'!M7=Equations!$T$3,"Meet","Inadequate"),"Inadequate"),"Inadequate"),"Inadequate"))</f>
        <v>Inadequate</v>
      </c>
      <c r="O7" s="98"/>
      <c r="P7" s="98"/>
      <c r="Q7" s="98"/>
      <c r="R7" s="98"/>
      <c r="S7" s="58" t="str">
        <f>IF(O7=Equations!$T$2,"Meet",IF('4) Underground Mine Criteria'!O7=Equations!$T$3,IF('4) Underground Mine Criteria'!P7=Equations!$T$3,IF('4) Underground Mine Criteria'!Q7=Equations!$T$3,IF('4) Underground Mine Criteria'!R7=Equations!$T$3,"Meet","Inadequate"),"Inadequate"),"Inadequate"),"Inadequate"))</f>
        <v>Inadequate</v>
      </c>
      <c r="T7" s="43"/>
    </row>
    <row r="8" spans="2:20" s="44" customFormat="1" ht="37.200000000000003" customHeight="1" thickBot="1" x14ac:dyDescent="0.35">
      <c r="B8" s="42"/>
      <c r="C8" s="112" t="s">
        <v>135</v>
      </c>
      <c r="D8" s="130" t="s">
        <v>324</v>
      </c>
      <c r="E8" s="111"/>
      <c r="F8" s="98"/>
      <c r="G8" s="98"/>
      <c r="H8" s="98"/>
      <c r="I8" s="39" t="str">
        <f>IF(E8=Equations!$T$2,"Meet",IF('4) Underground Mine Criteria'!E8=Equations!$T$3,IF('4) Underground Mine Criteria'!F8=Equations!$T$3,IF('4) Underground Mine Criteria'!G8=Equations!$T$3,IF('4) Underground Mine Criteria'!H8=Equations!$T$3,"Meet","Inadequate"),"Inadequate"),"Inadequate"),"Inadequate"))</f>
        <v>Inadequate</v>
      </c>
      <c r="J8" s="98"/>
      <c r="K8" s="98"/>
      <c r="L8" s="98"/>
      <c r="M8" s="98"/>
      <c r="N8" s="39" t="str">
        <f>IF(J8=Equations!$T$2,"Meet",IF('4) Underground Mine Criteria'!J8=Equations!$T$3,IF('4) Underground Mine Criteria'!K8=Equations!$T$3,IF('4) Underground Mine Criteria'!L8=Equations!$T$3,IF('4) Underground Mine Criteria'!M8=Equations!$T$3,"Meet","Inadequate"),"Inadequate"),"Inadequate"),"Inadequate"))</f>
        <v>Inadequate</v>
      </c>
      <c r="O8" s="98"/>
      <c r="P8" s="98"/>
      <c r="Q8" s="98"/>
      <c r="R8" s="98"/>
      <c r="S8" s="58" t="str">
        <f>IF(O8=Equations!$T$2,"Meet",IF('4) Underground Mine Criteria'!O8=Equations!$T$3,IF('4) Underground Mine Criteria'!P8=Equations!$T$3,IF('4) Underground Mine Criteria'!Q8=Equations!$T$3,IF('4) Underground Mine Criteria'!R8=Equations!$T$3,"Meet","Inadequate"),"Inadequate"),"Inadequate"),"Inadequate"))</f>
        <v>Inadequate</v>
      </c>
      <c r="T8" s="43"/>
    </row>
    <row r="9" spans="2:20" s="44" customFormat="1" ht="20.399999999999999" customHeight="1" thickBot="1" x14ac:dyDescent="0.35">
      <c r="B9" s="42"/>
      <c r="C9" s="112" t="s">
        <v>134</v>
      </c>
      <c r="D9" s="130" t="s">
        <v>325</v>
      </c>
      <c r="E9" s="111"/>
      <c r="F9" s="98"/>
      <c r="G9" s="98"/>
      <c r="H9" s="98"/>
      <c r="I9" s="39" t="str">
        <f>IF(E9=Equations!$T$2,"Meet",IF('4) Underground Mine Criteria'!E9=Equations!$T$3,IF('4) Underground Mine Criteria'!F9=Equations!$T$3,IF('4) Underground Mine Criteria'!G9=Equations!$T$3,IF('4) Underground Mine Criteria'!H9=Equations!$T$3,"Meet","Inadequate"),"Inadequate"),"Inadequate"),"Inadequate"))</f>
        <v>Inadequate</v>
      </c>
      <c r="J9" s="98"/>
      <c r="K9" s="98"/>
      <c r="L9" s="98"/>
      <c r="M9" s="98"/>
      <c r="N9" s="39" t="str">
        <f>IF(J9=Equations!$T$2,"Meet",IF('4) Underground Mine Criteria'!J9=Equations!$T$3,IF('4) Underground Mine Criteria'!K9=Equations!$T$3,IF('4) Underground Mine Criteria'!L9=Equations!$T$3,IF('4) Underground Mine Criteria'!M9=Equations!$T$3,"Meet","Inadequate"),"Inadequate"),"Inadequate"),"Inadequate"))</f>
        <v>Inadequate</v>
      </c>
      <c r="O9" s="98"/>
      <c r="P9" s="98"/>
      <c r="Q9" s="98"/>
      <c r="R9" s="98"/>
      <c r="S9" s="58" t="str">
        <f>IF(O9=Equations!$T$2,"Meet",IF('4) Underground Mine Criteria'!O9=Equations!$T$3,IF('4) Underground Mine Criteria'!P9=Equations!$T$3,IF('4) Underground Mine Criteria'!Q9=Equations!$T$3,IF('4) Underground Mine Criteria'!R9=Equations!$T$3,"Meet","Inadequate"),"Inadequate"),"Inadequate"),"Inadequate"))</f>
        <v>Inadequate</v>
      </c>
      <c r="T9" s="43"/>
    </row>
    <row r="10" spans="2:20" s="44" customFormat="1" ht="49.95" customHeight="1" thickBot="1" x14ac:dyDescent="0.35">
      <c r="B10" s="42"/>
      <c r="C10" s="112" t="s">
        <v>138</v>
      </c>
      <c r="D10" s="130" t="s">
        <v>326</v>
      </c>
      <c r="E10" s="111"/>
      <c r="F10" s="98"/>
      <c r="G10" s="98"/>
      <c r="H10" s="98"/>
      <c r="I10" s="39" t="str">
        <f>IF(E10=Equations!$T$2,"Meet",IF('4) Underground Mine Criteria'!E10=Equations!$T$3,IF('4) Underground Mine Criteria'!F10=Equations!$T$3,IF('4) Underground Mine Criteria'!G10=Equations!$T$3,IF('4) Underground Mine Criteria'!H10=Equations!$T$3,"Meet","Inadequate"),"Inadequate"),"Inadequate"),"Inadequate"))</f>
        <v>Inadequate</v>
      </c>
      <c r="J10" s="98"/>
      <c r="K10" s="98"/>
      <c r="L10" s="98"/>
      <c r="M10" s="98"/>
      <c r="N10" s="39" t="str">
        <f>IF(J10=Equations!$T$2,"Meet",IF('4) Underground Mine Criteria'!J10=Equations!$T$3,IF('4) Underground Mine Criteria'!K10=Equations!$T$3,IF('4) Underground Mine Criteria'!L10=Equations!$T$3,IF('4) Underground Mine Criteria'!M10=Equations!$T$3,"Meet","Inadequate"),"Inadequate"),"Inadequate"),"Inadequate"))</f>
        <v>Inadequate</v>
      </c>
      <c r="O10" s="98"/>
      <c r="P10" s="98"/>
      <c r="Q10" s="98"/>
      <c r="R10" s="98"/>
      <c r="S10" s="58" t="str">
        <f>IF(O10=Equations!$T$2,"Meet",IF('4) Underground Mine Criteria'!O10=Equations!$T$3,IF('4) Underground Mine Criteria'!P10=Equations!$T$3,IF('4) Underground Mine Criteria'!Q10=Equations!$T$3,IF('4) Underground Mine Criteria'!R10=Equations!$T$3,"Meet","Inadequate"),"Inadequate"),"Inadequate"),"Inadequate"))</f>
        <v>Inadequate</v>
      </c>
      <c r="T10" s="43"/>
    </row>
    <row r="11" spans="2:20" s="152" customFormat="1" ht="21" x14ac:dyDescent="0.3">
      <c r="B11" s="148"/>
      <c r="C11" s="149"/>
      <c r="D11" s="146"/>
      <c r="E11" s="150"/>
      <c r="F11" s="150"/>
      <c r="G11" s="150"/>
      <c r="H11" s="146" t="s">
        <v>327</v>
      </c>
      <c r="I11" s="147" t="str">
        <f>IF(COUNTIF(I5:I10,"Meet")=6,"Yes","No")</f>
        <v>No</v>
      </c>
      <c r="J11" s="150"/>
      <c r="K11" s="150"/>
      <c r="L11" s="150"/>
      <c r="M11" s="146" t="s">
        <v>327</v>
      </c>
      <c r="N11" s="147" t="str">
        <f>IF(COUNTIF(N5:N10,"Meet")=6,"Yes","No")</f>
        <v>No</v>
      </c>
      <c r="O11" s="150"/>
      <c r="P11" s="150"/>
      <c r="Q11" s="150"/>
      <c r="R11" s="146" t="s">
        <v>327</v>
      </c>
      <c r="S11" s="147" t="str">
        <f>IF(COUNTIF(S5:S10,"Meet")=6,"Yes","No")</f>
        <v>No</v>
      </c>
      <c r="T11" s="151"/>
    </row>
    <row r="12" spans="2:20" ht="15.6" thickBot="1" x14ac:dyDescent="0.3">
      <c r="B12" s="8"/>
      <c r="C12" s="30"/>
      <c r="D12" s="136"/>
      <c r="E12" s="9"/>
      <c r="F12" s="9"/>
      <c r="G12" s="9"/>
      <c r="H12" s="9"/>
      <c r="I12" s="9"/>
      <c r="J12" s="9"/>
      <c r="K12" s="9"/>
      <c r="L12" s="9"/>
      <c r="M12" s="9"/>
      <c r="N12" s="9"/>
      <c r="O12" s="9"/>
      <c r="P12" s="9"/>
      <c r="Q12" s="9"/>
      <c r="R12" s="9"/>
      <c r="S12" s="9"/>
      <c r="T12" s="10"/>
    </row>
    <row r="13" spans="2:20" x14ac:dyDescent="0.25"/>
  </sheetData>
  <sheetProtection algorithmName="SHA-512" hashValue="Jym8pubtl8ySznCiNyZarfPPQzXwWaP2bcDkFhVwtCEvQqruLAWh+XsKQsOiVCvcyNSTXMGLz7EU3qmC4RXFKg==" saltValue="bvGYf+D8uLz6tysfucn+TQ==" spinCount="100000" sheet="1" selectLockedCells="1"/>
  <mergeCells count="4">
    <mergeCell ref="C3:C4"/>
    <mergeCell ref="E3:I3"/>
    <mergeCell ref="J3:N3"/>
    <mergeCell ref="O3:S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E5:H10 J5:M10 O5:R10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75" zoomScaleNormal="75" workbookViewId="0">
      <pane xSplit="4" ySplit="4" topLeftCell="E5" activePane="bottomRight" state="frozen"/>
      <selection pane="topRight" activeCell="E1" sqref="E1"/>
      <selection pane="bottomLeft" activeCell="A5" sqref="A5"/>
      <selection pane="bottomRight" activeCell="H10" sqref="H10"/>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95" customHeight="1" x14ac:dyDescent="0.3">
      <c r="B3" s="42"/>
      <c r="C3" s="213" t="s">
        <v>136</v>
      </c>
      <c r="D3" s="134"/>
      <c r="E3" s="202" t="s">
        <v>336</v>
      </c>
      <c r="F3" s="202" t="s">
        <v>313</v>
      </c>
      <c r="G3" s="202" t="s">
        <v>320</v>
      </c>
      <c r="H3" s="202" t="s">
        <v>416</v>
      </c>
      <c r="I3" s="202" t="s">
        <v>129</v>
      </c>
      <c r="J3" s="43"/>
    </row>
    <row r="4" spans="2:10" s="47" customFormat="1" ht="112.2" customHeight="1" thickBot="1" x14ac:dyDescent="0.35">
      <c r="B4" s="45"/>
      <c r="C4" s="214"/>
      <c r="D4" s="153" t="s">
        <v>302</v>
      </c>
      <c r="E4" s="211"/>
      <c r="F4" s="211"/>
      <c r="G4" s="211"/>
      <c r="H4" s="211"/>
      <c r="I4" s="212"/>
      <c r="J4" s="46"/>
    </row>
    <row r="5" spans="2:10" s="44" customFormat="1" ht="30.6" thickBot="1" x14ac:dyDescent="0.35">
      <c r="B5" s="42"/>
      <c r="C5" s="48" t="s">
        <v>112</v>
      </c>
      <c r="D5" s="130" t="s">
        <v>328</v>
      </c>
      <c r="E5" s="98"/>
      <c r="F5" s="98"/>
      <c r="G5" s="98"/>
      <c r="H5" s="98"/>
      <c r="I5" s="40" t="str">
        <f>IF(E5=Equations!$T$2,"Meet",IF('5) Waste Rock Criteria'!E5=Equations!$T$3,IF('5) Waste Rock Criteria'!F5=Equations!$T$3,IF('5) Waste Rock Criteria'!G5=Equations!$T$3,IF('5) Waste Rock Criteria'!H5=Equations!$T$3,"Meet","Inadequate"),"Inadequate"),"Inadequate"),"Inadequate"))</f>
        <v>Inadequate</v>
      </c>
      <c r="J5" s="43"/>
    </row>
    <row r="6" spans="2:10" s="44" customFormat="1" ht="36.6" customHeight="1" thickBot="1" x14ac:dyDescent="0.35">
      <c r="B6" s="42"/>
      <c r="C6" s="48" t="s">
        <v>137</v>
      </c>
      <c r="D6" s="130" t="s">
        <v>329</v>
      </c>
      <c r="E6" s="98"/>
      <c r="F6" s="98"/>
      <c r="G6" s="98"/>
      <c r="H6" s="98"/>
      <c r="I6" s="40" t="str">
        <f>IF(E6=Equations!$T$2,"Meet",IF('5) Waste Rock Criteria'!E6=Equations!$T$3,IF('5) Waste Rock Criteria'!F6=Equations!$T$3,IF('5) Waste Rock Criteria'!G6=Equations!$T$3,IF('5) Waste Rock Criteria'!H6=Equations!$T$3,"Meet","Inadequate"),"Inadequate"),"Inadequate"),"Inadequate"))</f>
        <v>Inadequate</v>
      </c>
      <c r="J6" s="43"/>
    </row>
    <row r="7" spans="2:10" s="44" customFormat="1" ht="34.950000000000003" customHeight="1" thickBot="1" x14ac:dyDescent="0.35">
      <c r="B7" s="42"/>
      <c r="C7" s="48" t="s">
        <v>140</v>
      </c>
      <c r="D7" s="130" t="s">
        <v>330</v>
      </c>
      <c r="E7" s="98"/>
      <c r="F7" s="98"/>
      <c r="G7" s="98"/>
      <c r="H7" s="98"/>
      <c r="I7" s="40" t="str">
        <f>IF(E7=Equations!$T$2,"Meet",IF('5) Waste Rock Criteria'!E7=Equations!$T$3,IF('5) Waste Rock Criteria'!F7=Equations!$T$3,IF('5) Waste Rock Criteria'!G7=Equations!$T$3,IF('5) Waste Rock Criteria'!H7=Equations!$T$3,"Meet","Inadequate"),"Inadequate"),"Inadequate"),"Inadequate"))</f>
        <v>Inadequate</v>
      </c>
      <c r="J7" s="43"/>
    </row>
    <row r="8" spans="2:10" s="44" customFormat="1" ht="106.2" customHeight="1" thickBot="1" x14ac:dyDescent="0.35">
      <c r="B8" s="42"/>
      <c r="C8" s="48" t="s">
        <v>141</v>
      </c>
      <c r="D8" s="130" t="s">
        <v>331</v>
      </c>
      <c r="E8" s="98"/>
      <c r="F8" s="98"/>
      <c r="G8" s="98"/>
      <c r="H8" s="98"/>
      <c r="I8" s="40" t="str">
        <f>IF(E8=Equations!$T$2,"Meet",IF('5) Waste Rock Criteria'!E8=Equations!$T$3,IF('5) Waste Rock Criteria'!F8=Equations!$T$3,IF('5) Waste Rock Criteria'!G8=Equations!$T$3,IF('5) Waste Rock Criteria'!H8=Equations!$T$3,"Meet","Inadequate"),"Inadequate"),"Inadequate"),"Inadequate"))</f>
        <v>Inadequate</v>
      </c>
      <c r="J8" s="43"/>
    </row>
    <row r="9" spans="2:10" s="44" customFormat="1" ht="38.4" customHeight="1" thickBot="1" x14ac:dyDescent="0.35">
      <c r="B9" s="42"/>
      <c r="C9" s="48" t="s">
        <v>142</v>
      </c>
      <c r="D9" s="130" t="s">
        <v>332</v>
      </c>
      <c r="E9" s="98"/>
      <c r="F9" s="98"/>
      <c r="G9" s="98"/>
      <c r="H9" s="98"/>
      <c r="I9" s="40" t="str">
        <f>IF(E9=Equations!$T$2,"Meet",IF('5) Waste Rock Criteria'!E9=Equations!$T$3,IF('5) Waste Rock Criteria'!F9=Equations!$T$3,IF('5) Waste Rock Criteria'!G9=Equations!$T$3,IF('5) Waste Rock Criteria'!H9=Equations!$T$3,"Meet","Inadequate"),"Inadequate"),"Inadequate"),"Inadequate"))</f>
        <v>Inadequate</v>
      </c>
      <c r="J9" s="43"/>
    </row>
    <row r="10" spans="2:10" s="44" customFormat="1" ht="82.2" customHeight="1" thickBot="1" x14ac:dyDescent="0.35">
      <c r="B10" s="42"/>
      <c r="C10" s="48" t="s">
        <v>143</v>
      </c>
      <c r="D10" s="130" t="s">
        <v>333</v>
      </c>
      <c r="E10" s="98"/>
      <c r="F10" s="98"/>
      <c r="G10" s="98"/>
      <c r="H10" s="98"/>
      <c r="I10" s="40" t="str">
        <f>IF(E10=Equations!$T$2,"Meet",IF('5) Waste Rock Criteria'!E10=Equations!$T$3,IF('5) Waste Rock Criteria'!F10=Equations!$T$3,IF('5) Waste Rock Criteria'!G10=Equations!$T$3,IF('5) Waste Rock Criteria'!H10=Equations!$T$3,"Meet","Inadequate"),"Inadequate"),"Inadequate"),"Inadequate"))</f>
        <v>Inadequate</v>
      </c>
      <c r="J10" s="43"/>
    </row>
    <row r="11" spans="2:10" s="44" customFormat="1" ht="98.4" customHeight="1" thickBot="1" x14ac:dyDescent="0.35">
      <c r="B11" s="42"/>
      <c r="C11" s="48" t="s">
        <v>144</v>
      </c>
      <c r="D11" s="130" t="s">
        <v>334</v>
      </c>
      <c r="E11" s="98"/>
      <c r="F11" s="98"/>
      <c r="G11" s="98"/>
      <c r="H11" s="98"/>
      <c r="I11" s="40" t="str">
        <f>IF(E11=Equations!$T$2,"Meet",IF('5) Waste Rock Criteria'!E11=Equations!$T$3,IF('5) Waste Rock Criteria'!F11=Equations!$T$3,IF('5) Waste Rock Criteria'!G11=Equations!$T$3,IF('5) Waste Rock Criteria'!H11=Equations!$T$3,"Meet","Inadequate"),"Inadequate"),"Inadequate"),"Inadequate"))</f>
        <v>Inadequate</v>
      </c>
      <c r="J11" s="43"/>
    </row>
    <row r="12" spans="2:10" s="44" customFormat="1" ht="181.95" customHeight="1" thickBot="1" x14ac:dyDescent="0.35">
      <c r="B12" s="42"/>
      <c r="C12" s="48" t="s">
        <v>145</v>
      </c>
      <c r="D12" s="130" t="s">
        <v>335</v>
      </c>
      <c r="E12" s="98"/>
      <c r="F12" s="98"/>
      <c r="G12" s="98"/>
      <c r="H12" s="98"/>
      <c r="I12" s="40" t="str">
        <f>IF(E12=Equations!$T$2,"Meet",IF('5) Waste Rock Criteria'!E12=Equations!$T$3,IF('5) Waste Rock Criteria'!F12=Equations!$T$3,IF('5) Waste Rock Criteria'!G12=Equations!$T$3,IF('5) Waste Rock Criteria'!H12=Equations!$T$3,"Meet","Inadequate"),"Inadequate"),"Inadequate"),"Inadequate"))</f>
        <v>Inadequate</v>
      </c>
      <c r="J12" s="43"/>
    </row>
    <row r="13" spans="2:10" s="152" customFormat="1" ht="21" x14ac:dyDescent="0.3">
      <c r="B13" s="148"/>
      <c r="C13" s="149"/>
      <c r="D13" s="149"/>
      <c r="E13" s="150"/>
      <c r="F13" s="150"/>
      <c r="G13" s="150"/>
      <c r="H13" s="146" t="s">
        <v>327</v>
      </c>
      <c r="I13" s="147" t="str">
        <f>IF(COUNTIF(I5:I12,"Meet")=8,"Yes","No")</f>
        <v>No</v>
      </c>
      <c r="J13" s="151"/>
    </row>
    <row r="14" spans="2:10" ht="15.6" thickBot="1" x14ac:dyDescent="0.3">
      <c r="B14" s="8"/>
      <c r="C14" s="30"/>
      <c r="D14" s="30"/>
      <c r="E14" s="9"/>
      <c r="F14" s="9"/>
      <c r="G14" s="9"/>
      <c r="H14" s="9"/>
      <c r="I14" s="9"/>
      <c r="J14" s="10"/>
    </row>
    <row r="15" spans="2:10" x14ac:dyDescent="0.25"/>
  </sheetData>
  <sheetProtection algorithmName="SHA-512" hashValue="gTtxrLu1WN26U9MBAjcocq8Ar1df9Zz0xGDdrVA7yKYf26mTv0GVPcW3ZTbJJ3ZjTXYfC5w6avctFIVZPYndmA==" saltValue="3AExJ0GJPsyvuyPV2OTvSQ==" spinCount="100000" sheet="1" selectLockedCells="1"/>
  <mergeCells count="6">
    <mergeCell ref="H3:H4"/>
    <mergeCell ref="I3:I4"/>
    <mergeCell ref="C3:C4"/>
    <mergeCell ref="E3:E4"/>
    <mergeCell ref="F3:F4"/>
    <mergeCell ref="G3:G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75" zoomScaleNormal="75" workbookViewId="0">
      <pane xSplit="4" ySplit="4" topLeftCell="E5" activePane="bottomRight" state="frozen"/>
      <selection pane="topRight" activeCell="E1" sqref="E1"/>
      <selection pane="bottomLeft" activeCell="A5" sqref="A5"/>
      <selection pane="bottomRight" activeCell="H6" sqref="H6"/>
    </sheetView>
  </sheetViews>
  <sheetFormatPr defaultColWidth="0" defaultRowHeight="15" zeroHeight="1" x14ac:dyDescent="0.25"/>
  <cols>
    <col min="1" max="2" width="8.88671875" style="1" customWidth="1"/>
    <col min="3" max="3" width="94.5546875" style="27" customWidth="1"/>
    <col min="4" max="4" width="11.33203125" style="27" customWidth="1"/>
    <col min="5" max="8" width="37.6640625" style="1" customWidth="1"/>
    <col min="9" max="9" width="17.33203125" style="1" customWidth="1"/>
    <col min="10" max="11" width="8.88671875" style="1" customWidth="1"/>
    <col min="12" max="16384" width="8.88671875" style="1" hidden="1"/>
  </cols>
  <sheetData>
    <row r="1" spans="2:10" ht="15.6" thickBot="1" x14ac:dyDescent="0.3"/>
    <row r="2" spans="2:10" x14ac:dyDescent="0.25">
      <c r="B2" s="2"/>
      <c r="C2" s="29"/>
      <c r="D2" s="29"/>
      <c r="E2" s="26"/>
      <c r="F2" s="26"/>
      <c r="G2" s="26"/>
      <c r="H2" s="26"/>
      <c r="I2" s="26"/>
      <c r="J2" s="3"/>
    </row>
    <row r="3" spans="2:10" s="44" customFormat="1" ht="22.8" x14ac:dyDescent="0.3">
      <c r="B3" s="42"/>
      <c r="C3" s="207" t="s">
        <v>146</v>
      </c>
      <c r="D3" s="134"/>
      <c r="E3" s="202" t="s">
        <v>345</v>
      </c>
      <c r="F3" s="202" t="s">
        <v>313</v>
      </c>
      <c r="G3" s="202" t="s">
        <v>320</v>
      </c>
      <c r="H3" s="202" t="s">
        <v>417</v>
      </c>
      <c r="I3" s="202" t="s">
        <v>129</v>
      </c>
      <c r="J3" s="43"/>
    </row>
    <row r="4" spans="2:10" s="47" customFormat="1" ht="112.2" customHeight="1" thickBot="1" x14ac:dyDescent="0.35">
      <c r="B4" s="45"/>
      <c r="C4" s="208"/>
      <c r="D4" s="153" t="s">
        <v>302</v>
      </c>
      <c r="E4" s="206"/>
      <c r="F4" s="206"/>
      <c r="G4" s="206"/>
      <c r="H4" s="206"/>
      <c r="I4" s="203"/>
      <c r="J4" s="46"/>
    </row>
    <row r="5" spans="2:10" s="44" customFormat="1" ht="34.200000000000003" customHeight="1" thickBot="1" x14ac:dyDescent="0.35">
      <c r="B5" s="42"/>
      <c r="C5" s="48" t="s">
        <v>139</v>
      </c>
      <c r="D5" s="130" t="s">
        <v>337</v>
      </c>
      <c r="E5" s="98"/>
      <c r="F5" s="98"/>
      <c r="G5" s="98"/>
      <c r="H5" s="98"/>
      <c r="I5" s="40" t="str">
        <f>IF(E5=Equations!$T$2,"Meet",IF('6) Heap_Dump Leach Criteria'!E5=Equations!$T$3,IF('6) Heap_Dump Leach Criteria'!F5=Equations!$T$3,IF('6) Heap_Dump Leach Criteria'!G5=Equations!$T$3,IF('6) Heap_Dump Leach Criteria'!H5=Equations!$T$3,"Meet","Inadequate"),"Inadequate"),"Inadequate"),"Inadequate"))</f>
        <v>Inadequate</v>
      </c>
      <c r="J5" s="43"/>
    </row>
    <row r="6" spans="2:10" s="44" customFormat="1" ht="115.2" customHeight="1" thickBot="1" x14ac:dyDescent="0.35">
      <c r="B6" s="42"/>
      <c r="C6" s="48" t="s">
        <v>147</v>
      </c>
      <c r="D6" s="130" t="s">
        <v>338</v>
      </c>
      <c r="E6" s="98"/>
      <c r="F6" s="98"/>
      <c r="G6" s="98"/>
      <c r="H6" s="98"/>
      <c r="I6" s="40" t="str">
        <f>IF(E6=Equations!$T$2,"Meet",IF('6) Heap_Dump Leach Criteria'!E6=Equations!$T$3,IF('6) Heap_Dump Leach Criteria'!F6=Equations!$T$3,IF('6) Heap_Dump Leach Criteria'!G6=Equations!$T$3,IF('6) Heap_Dump Leach Criteria'!H6=Equations!$T$3,"Meet","Inadequate"),"Inadequate"),"Inadequate"),"Inadequate"))</f>
        <v>Inadequate</v>
      </c>
      <c r="J6" s="43"/>
    </row>
    <row r="7" spans="2:10" s="44" customFormat="1" ht="34.950000000000003" customHeight="1" thickBot="1" x14ac:dyDescent="0.35">
      <c r="B7" s="42"/>
      <c r="C7" s="48" t="s">
        <v>148</v>
      </c>
      <c r="D7" s="130" t="s">
        <v>339</v>
      </c>
      <c r="E7" s="98"/>
      <c r="F7" s="98"/>
      <c r="G7" s="98"/>
      <c r="H7" s="98"/>
      <c r="I7" s="40" t="str">
        <f>IF(E7=Equations!$T$2,"Meet",IF('6) Heap_Dump Leach Criteria'!E7=Equations!$T$3,IF('6) Heap_Dump Leach Criteria'!F7=Equations!$T$3,IF('6) Heap_Dump Leach Criteria'!G7=Equations!$T$3,IF('6) Heap_Dump Leach Criteria'!H7=Equations!$T$3,"Meet","Inadequate"),"Inadequate"),"Inadequate"),"Inadequate"))</f>
        <v>Inadequate</v>
      </c>
      <c r="J7" s="43"/>
    </row>
    <row r="8" spans="2:10" s="44" customFormat="1" ht="84.6" customHeight="1" thickBot="1" x14ac:dyDescent="0.35">
      <c r="B8" s="42"/>
      <c r="C8" s="48" t="s">
        <v>143</v>
      </c>
      <c r="D8" s="130" t="s">
        <v>340</v>
      </c>
      <c r="E8" s="98"/>
      <c r="F8" s="98"/>
      <c r="G8" s="98"/>
      <c r="H8" s="98"/>
      <c r="I8" s="40" t="str">
        <f>IF(E8=Equations!$T$2,"Meet",IF('6) Heap_Dump Leach Criteria'!E8=Equations!$T$3,IF('6) Heap_Dump Leach Criteria'!F8=Equations!$T$3,IF('6) Heap_Dump Leach Criteria'!G8=Equations!$T$3,IF('6) Heap_Dump Leach Criteria'!H8=Equations!$T$3,"Meet","Inadequate"),"Inadequate"),"Inadequate"),"Inadequate"))</f>
        <v>Inadequate</v>
      </c>
      <c r="J8" s="43"/>
    </row>
    <row r="9" spans="2:10" s="44" customFormat="1" ht="97.2" customHeight="1" thickBot="1" x14ac:dyDescent="0.35">
      <c r="B9" s="42"/>
      <c r="C9" s="48" t="s">
        <v>149</v>
      </c>
      <c r="D9" s="130" t="s">
        <v>341</v>
      </c>
      <c r="E9" s="98"/>
      <c r="F9" s="98"/>
      <c r="G9" s="98"/>
      <c r="H9" s="98"/>
      <c r="I9" s="40" t="str">
        <f>IF(E9=Equations!$T$2,"Meet",IF('6) Heap_Dump Leach Criteria'!E9=Equations!$T$3,IF('6) Heap_Dump Leach Criteria'!F9=Equations!$T$3,IF('6) Heap_Dump Leach Criteria'!G9=Equations!$T$3,IF('6) Heap_Dump Leach Criteria'!H9=Equations!$T$3,"Meet","Inadequate"),"Inadequate"),"Inadequate"),"Inadequate"))</f>
        <v>Inadequate</v>
      </c>
      <c r="J9" s="43"/>
    </row>
    <row r="10" spans="2:10" s="44" customFormat="1" ht="173.4" customHeight="1" thickBot="1" x14ac:dyDescent="0.35">
      <c r="B10" s="42"/>
      <c r="C10" s="48" t="s">
        <v>145</v>
      </c>
      <c r="D10" s="130" t="s">
        <v>342</v>
      </c>
      <c r="E10" s="98"/>
      <c r="F10" s="98"/>
      <c r="G10" s="98"/>
      <c r="H10" s="98"/>
      <c r="I10" s="40" t="str">
        <f>IF(E10=Equations!$T$2,"Meet",IF('6) Heap_Dump Leach Criteria'!E10=Equations!$T$3,IF('6) Heap_Dump Leach Criteria'!F10=Equations!$T$3,IF('6) Heap_Dump Leach Criteria'!G10=Equations!$T$3,IF('6) Heap_Dump Leach Criteria'!H10=Equations!$T$3,"Meet","Inadequate"),"Inadequate"),"Inadequate"),"Inadequate"))</f>
        <v>Inadequate</v>
      </c>
      <c r="J10" s="43"/>
    </row>
    <row r="11" spans="2:10" s="44" customFormat="1" ht="37.200000000000003" customHeight="1" thickBot="1" x14ac:dyDescent="0.35">
      <c r="B11" s="42"/>
      <c r="C11" s="48" t="s">
        <v>150</v>
      </c>
      <c r="D11" s="130" t="s">
        <v>343</v>
      </c>
      <c r="E11" s="98"/>
      <c r="F11" s="98"/>
      <c r="G11" s="98"/>
      <c r="H11" s="98"/>
      <c r="I11" s="40" t="str">
        <f>IF(E11=Equations!$T$2,"Meet",IF('6) Heap_Dump Leach Criteria'!E11=Equations!$T$3,IF('6) Heap_Dump Leach Criteria'!F11=Equations!$T$3,IF('6) Heap_Dump Leach Criteria'!G11=Equations!$T$3,IF('6) Heap_Dump Leach Criteria'!H11=Equations!$T$3,"Meet","Inadequate"),"Inadequate"),"Inadequate"),"Inadequate"))</f>
        <v>Inadequate</v>
      </c>
      <c r="J11" s="43"/>
    </row>
    <row r="12" spans="2:10" s="44" customFormat="1" ht="37.200000000000003" customHeight="1" thickBot="1" x14ac:dyDescent="0.35">
      <c r="B12" s="42"/>
      <c r="C12" s="48" t="s">
        <v>151</v>
      </c>
      <c r="D12" s="130" t="s">
        <v>344</v>
      </c>
      <c r="E12" s="98"/>
      <c r="F12" s="98"/>
      <c r="G12" s="98"/>
      <c r="H12" s="98"/>
      <c r="I12" s="40" t="str">
        <f>IF(E12=Equations!$T$2,"Meet",IF('6) Heap_Dump Leach Criteria'!E12=Equations!$T$3,IF('6) Heap_Dump Leach Criteria'!F12=Equations!$T$3,IF('6) Heap_Dump Leach Criteria'!G12=Equations!$T$3,IF('6) Heap_Dump Leach Criteria'!H12=Equations!$T$3,"Meet","Inadequate"),"Inadequate"),"Inadequate"),"Inadequate"))</f>
        <v>Inadequate</v>
      </c>
      <c r="J12" s="43"/>
    </row>
    <row r="13" spans="2:10" s="152" customFormat="1" ht="21" x14ac:dyDescent="0.3">
      <c r="B13" s="148"/>
      <c r="C13" s="149"/>
      <c r="D13" s="149"/>
      <c r="E13" s="150"/>
      <c r="F13" s="150"/>
      <c r="G13" s="150"/>
      <c r="H13" s="146" t="s">
        <v>327</v>
      </c>
      <c r="I13" s="147" t="str">
        <f>IF(COUNTIF(I5:I12,"Meet")=8,"Yes","No")</f>
        <v>No</v>
      </c>
      <c r="J13" s="151"/>
    </row>
    <row r="14" spans="2:10" ht="15.6" thickBot="1" x14ac:dyDescent="0.3">
      <c r="B14" s="8"/>
      <c r="C14" s="30"/>
      <c r="D14" s="30"/>
      <c r="E14" s="9"/>
      <c r="F14" s="9"/>
      <c r="G14" s="9"/>
      <c r="H14" s="9"/>
      <c r="I14" s="9"/>
      <c r="J14" s="10"/>
    </row>
    <row r="15" spans="2:10" x14ac:dyDescent="0.25"/>
  </sheetData>
  <sheetProtection algorithmName="SHA-512" hashValue="9mzhobz6NvcZcqhvUM+c8QhEjUn+Yz7DIvVm+7CIvuLOVnuBHgo8nnD7Ef9cHeKyRdaWocCneciU0XyNjpQNTA==" saltValue="k7gIX2aHwS/Ll9shBQfPDg==" spinCount="100000" sheet="1" objects="1" scenarios="1" selectLockedCells="1"/>
  <mergeCells count="6">
    <mergeCell ref="H3:H4"/>
    <mergeCell ref="I3:I4"/>
    <mergeCell ref="C3:C4"/>
    <mergeCell ref="E3:E4"/>
    <mergeCell ref="F3:F4"/>
    <mergeCell ref="G3:G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zoomScale="75" zoomScaleNormal="75" workbookViewId="0">
      <pane xSplit="4" ySplit="4" topLeftCell="E5" activePane="bottomRight" state="frozen"/>
      <selection pane="topRight" activeCell="E1" sqref="E1"/>
      <selection pane="bottomLeft" activeCell="A5" sqref="A5"/>
      <selection pane="bottomRight" activeCell="E5" sqref="E5"/>
    </sheetView>
  </sheetViews>
  <sheetFormatPr defaultColWidth="8.88671875" defaultRowHeight="15" x14ac:dyDescent="0.25"/>
  <cols>
    <col min="1" max="2" width="8.88671875" style="1"/>
    <col min="3" max="3" width="94.5546875" style="27" customWidth="1"/>
    <col min="4" max="4" width="11.33203125" style="27" customWidth="1"/>
    <col min="5" max="8" width="37.6640625" style="1" customWidth="1"/>
    <col min="9" max="9" width="17.33203125" style="1" customWidth="1"/>
    <col min="10" max="16384" width="8.88671875" style="1"/>
  </cols>
  <sheetData>
    <row r="1" spans="2:10" ht="15.6" thickBot="1" x14ac:dyDescent="0.3"/>
    <row r="2" spans="2:10" x14ac:dyDescent="0.25">
      <c r="B2" s="2"/>
      <c r="C2" s="29"/>
      <c r="D2" s="29"/>
      <c r="E2" s="26"/>
      <c r="F2" s="26"/>
      <c r="G2" s="26"/>
      <c r="H2" s="26"/>
      <c r="I2" s="26"/>
      <c r="J2" s="3"/>
    </row>
    <row r="3" spans="2:10" s="44" customFormat="1" ht="22.8" x14ac:dyDescent="0.3">
      <c r="B3" s="42"/>
      <c r="C3" s="207" t="s">
        <v>152</v>
      </c>
      <c r="D3" s="110"/>
      <c r="E3" s="202" t="s">
        <v>347</v>
      </c>
      <c r="F3" s="202" t="s">
        <v>313</v>
      </c>
      <c r="G3" s="202" t="s">
        <v>320</v>
      </c>
      <c r="H3" s="202" t="s">
        <v>418</v>
      </c>
      <c r="I3" s="202" t="s">
        <v>129</v>
      </c>
      <c r="J3" s="43"/>
    </row>
    <row r="4" spans="2:10" s="47" customFormat="1" ht="117" customHeight="1" thickBot="1" x14ac:dyDescent="0.35">
      <c r="B4" s="45"/>
      <c r="C4" s="208"/>
      <c r="D4" s="153" t="s">
        <v>302</v>
      </c>
      <c r="E4" s="206"/>
      <c r="F4" s="206"/>
      <c r="G4" s="206"/>
      <c r="H4" s="206"/>
      <c r="I4" s="203"/>
      <c r="J4" s="46"/>
    </row>
    <row r="5" spans="2:10" s="44" customFormat="1" ht="34.200000000000003" customHeight="1" thickBot="1" x14ac:dyDescent="0.35">
      <c r="B5" s="42"/>
      <c r="C5" s="48" t="s">
        <v>139</v>
      </c>
      <c r="D5" s="130" t="s">
        <v>346</v>
      </c>
      <c r="E5" s="98"/>
      <c r="F5" s="98"/>
      <c r="G5" s="98"/>
      <c r="H5" s="98"/>
      <c r="I5" s="40" t="str">
        <f>IF(E5=Equations!$T$2,"Meet",IF('7) Tailings Criteria'!E5=Equations!$T$3,IF('7) Tailings Criteria'!F5=Equations!$T$3,IF('7) Tailings Criteria'!G5=Equations!$T$3,IF('7) Tailings Criteria'!H5=Equations!$T$3,"Meet","Inadequate"),"Inadequate"),"Inadequate"),"Inadequate"))</f>
        <v>Inadequate</v>
      </c>
      <c r="J5" s="43"/>
    </row>
    <row r="6" spans="2:10" s="44" customFormat="1" ht="115.2" customHeight="1" thickBot="1" x14ac:dyDescent="0.35">
      <c r="B6" s="42"/>
      <c r="C6" s="48" t="s">
        <v>147</v>
      </c>
      <c r="D6" s="130" t="s">
        <v>348</v>
      </c>
      <c r="E6" s="98"/>
      <c r="F6" s="98"/>
      <c r="G6" s="98"/>
      <c r="H6" s="98"/>
      <c r="I6" s="40" t="str">
        <f>IF(E6=Equations!$T$2,"Meet",IF('7) Tailings Criteria'!E6=Equations!$T$3,IF('7) Tailings Criteria'!F6=Equations!$T$3,IF('7) Tailings Criteria'!G6=Equations!$T$3,IF('7) Tailings Criteria'!H6=Equations!$T$3,"Meet","Inadequate"),"Inadequate"),"Inadequate"),"Inadequate"))</f>
        <v>Inadequate</v>
      </c>
      <c r="J6" s="43"/>
    </row>
    <row r="7" spans="2:10" s="44" customFormat="1" ht="34.950000000000003" customHeight="1" thickBot="1" x14ac:dyDescent="0.35">
      <c r="B7" s="42"/>
      <c r="C7" s="48" t="s">
        <v>148</v>
      </c>
      <c r="D7" s="130" t="s">
        <v>349</v>
      </c>
      <c r="E7" s="98"/>
      <c r="F7" s="98"/>
      <c r="G7" s="98"/>
      <c r="H7" s="98"/>
      <c r="I7" s="40" t="str">
        <f>IF(E7=Equations!$T$2,"Meet",IF('7) Tailings Criteria'!E7=Equations!$T$3,IF('7) Tailings Criteria'!F7=Equations!$T$3,IF('7) Tailings Criteria'!G7=Equations!$T$3,IF('7) Tailings Criteria'!H7=Equations!$T$3,"Meet","Inadequate"),"Inadequate"),"Inadequate"),"Inadequate"))</f>
        <v>Inadequate</v>
      </c>
      <c r="J7" s="43"/>
    </row>
    <row r="8" spans="2:10" s="44" customFormat="1" ht="84.6" customHeight="1" thickBot="1" x14ac:dyDescent="0.35">
      <c r="B8" s="42"/>
      <c r="C8" s="48" t="s">
        <v>143</v>
      </c>
      <c r="D8" s="130" t="s">
        <v>350</v>
      </c>
      <c r="E8" s="98"/>
      <c r="F8" s="98"/>
      <c r="G8" s="98"/>
      <c r="H8" s="98"/>
      <c r="I8" s="40" t="str">
        <f>IF(E8=Equations!$T$2,"Meet",IF('7) Tailings Criteria'!E8=Equations!$T$3,IF('7) Tailings Criteria'!F8=Equations!$T$3,IF('7) Tailings Criteria'!G8=Equations!$T$3,IF('7) Tailings Criteria'!H8=Equations!$T$3,"Meet","Inadequate"),"Inadequate"),"Inadequate"),"Inadequate"))</f>
        <v>Inadequate</v>
      </c>
      <c r="J8" s="43"/>
    </row>
    <row r="9" spans="2:10" s="44" customFormat="1" ht="97.2" customHeight="1" thickBot="1" x14ac:dyDescent="0.35">
      <c r="B9" s="42"/>
      <c r="C9" s="48" t="s">
        <v>149</v>
      </c>
      <c r="D9" s="130" t="s">
        <v>351</v>
      </c>
      <c r="E9" s="98"/>
      <c r="F9" s="98"/>
      <c r="G9" s="98"/>
      <c r="H9" s="98"/>
      <c r="I9" s="40" t="str">
        <f>IF(E9=Equations!$T$2,"Meet",IF('7) Tailings Criteria'!E9=Equations!$T$3,IF('7) Tailings Criteria'!F9=Equations!$T$3,IF('7) Tailings Criteria'!G9=Equations!$T$3,IF('7) Tailings Criteria'!H9=Equations!$T$3,"Meet","Inadequate"),"Inadequate"),"Inadequate"),"Inadequate"))</f>
        <v>Inadequate</v>
      </c>
      <c r="J9" s="43"/>
    </row>
    <row r="10" spans="2:10" s="44" customFormat="1" ht="173.4" customHeight="1" thickBot="1" x14ac:dyDescent="0.35">
      <c r="B10" s="42"/>
      <c r="C10" s="48" t="s">
        <v>145</v>
      </c>
      <c r="D10" s="130" t="s">
        <v>352</v>
      </c>
      <c r="E10" s="98"/>
      <c r="F10" s="98"/>
      <c r="G10" s="98"/>
      <c r="H10" s="98"/>
      <c r="I10" s="40" t="str">
        <f>IF(E10=Equations!$T$2,"Meet",IF('7) Tailings Criteria'!E10=Equations!$T$3,IF('7) Tailings Criteria'!F10=Equations!$T$3,IF('7) Tailings Criteria'!G10=Equations!$T$3,IF('7) Tailings Criteria'!H10=Equations!$T$3,"Meet","Inadequate"),"Inadequate"),"Inadequate"),"Inadequate"))</f>
        <v>Inadequate</v>
      </c>
      <c r="J10" s="43"/>
    </row>
    <row r="11" spans="2:10" s="44" customFormat="1" ht="37.200000000000003" customHeight="1" thickBot="1" x14ac:dyDescent="0.35">
      <c r="B11" s="42"/>
      <c r="C11" s="48" t="s">
        <v>150</v>
      </c>
      <c r="D11" s="130" t="s">
        <v>353</v>
      </c>
      <c r="E11" s="98"/>
      <c r="F11" s="98"/>
      <c r="G11" s="98"/>
      <c r="H11" s="98"/>
      <c r="I11" s="40" t="str">
        <f>IF(E11=Equations!$T$2,"Meet",IF('7) Tailings Criteria'!E11=Equations!$T$3,IF('7) Tailings Criteria'!F11=Equations!$T$3,IF('7) Tailings Criteria'!G11=Equations!$T$3,IF('7) Tailings Criteria'!H11=Equations!$T$3,"Meet","Inadequate"),"Inadequate"),"Inadequate"),"Inadequate"))</f>
        <v>Inadequate</v>
      </c>
      <c r="J11" s="43"/>
    </row>
    <row r="12" spans="2:10" s="44" customFormat="1" ht="37.200000000000003" customHeight="1" thickBot="1" x14ac:dyDescent="0.35">
      <c r="B12" s="42"/>
      <c r="C12" s="48" t="s">
        <v>151</v>
      </c>
      <c r="D12" s="130" t="s">
        <v>354</v>
      </c>
      <c r="E12" s="98"/>
      <c r="F12" s="98"/>
      <c r="G12" s="98"/>
      <c r="H12" s="98"/>
      <c r="I12" s="40" t="str">
        <f>IF(E12=Equations!$T$2,"Meet",IF('7) Tailings Criteria'!E12=Equations!$T$3,IF('7) Tailings Criteria'!F12=Equations!$T$3,IF('7) Tailings Criteria'!G12=Equations!$T$3,IF('7) Tailings Criteria'!H12=Equations!$T$3,"Meet","Inadequate"),"Inadequate"),"Inadequate"),"Inadequate"))</f>
        <v>Inadequate</v>
      </c>
      <c r="J12" s="43"/>
    </row>
    <row r="13" spans="2:10" s="44" customFormat="1" ht="132" customHeight="1" thickBot="1" x14ac:dyDescent="0.35">
      <c r="B13" s="42"/>
      <c r="C13" s="48" t="s">
        <v>153</v>
      </c>
      <c r="D13" s="130" t="s">
        <v>355</v>
      </c>
      <c r="E13" s="98"/>
      <c r="F13" s="98"/>
      <c r="G13" s="98"/>
      <c r="H13" s="98"/>
      <c r="I13" s="40" t="str">
        <f>IF(E13=Equations!$T$2,"Meet",IF('7) Tailings Criteria'!E13=Equations!$T$3,IF('7) Tailings Criteria'!F13=Equations!$T$3,IF('7) Tailings Criteria'!G13=Equations!$T$3,IF('7) Tailings Criteria'!H13=Equations!$T$3,"Meet","Inadequate"),"Inadequate"),"Inadequate"),"Inadequate"))</f>
        <v>Inadequate</v>
      </c>
      <c r="J13" s="43"/>
    </row>
    <row r="14" spans="2:10" s="44" customFormat="1" ht="37.200000000000003" customHeight="1" thickBot="1" x14ac:dyDescent="0.35">
      <c r="B14" s="42"/>
      <c r="C14" s="48" t="s">
        <v>154</v>
      </c>
      <c r="D14" s="130" t="s">
        <v>356</v>
      </c>
      <c r="E14" s="98"/>
      <c r="F14" s="98"/>
      <c r="G14" s="98"/>
      <c r="H14" s="98"/>
      <c r="I14" s="40" t="str">
        <f>IF(E14=Equations!$T$2,"Meet",IF('7) Tailings Criteria'!E14=Equations!$T$3,IF('7) Tailings Criteria'!F14=Equations!$T$3,IF('7) Tailings Criteria'!G14=Equations!$T$3,IF('7) Tailings Criteria'!H14=Equations!$T$3,"Meet","Inadequate"),"Inadequate"),"Inadequate"),"Inadequate"))</f>
        <v>Inadequate</v>
      </c>
      <c r="J14" s="43"/>
    </row>
    <row r="15" spans="2:10" s="152" customFormat="1" ht="21" x14ac:dyDescent="0.3">
      <c r="B15" s="148"/>
      <c r="C15" s="149"/>
      <c r="D15" s="149"/>
      <c r="E15" s="150"/>
      <c r="F15" s="150"/>
      <c r="G15" s="150"/>
      <c r="H15" s="146" t="s">
        <v>327</v>
      </c>
      <c r="I15" s="147" t="str">
        <f>IF(COUNTIF(I5:I14,"Meet")=10,"Yes","No")</f>
        <v>No</v>
      </c>
      <c r="J15" s="151"/>
    </row>
    <row r="16" spans="2:10" ht="15.6" thickBot="1" x14ac:dyDescent="0.3">
      <c r="B16" s="8"/>
      <c r="C16" s="30"/>
      <c r="D16" s="30"/>
      <c r="E16" s="9"/>
      <c r="F16" s="9"/>
      <c r="G16" s="9"/>
      <c r="H16" s="9"/>
      <c r="I16" s="9"/>
      <c r="J16" s="10"/>
    </row>
  </sheetData>
  <sheetProtection algorithmName="SHA-512" hashValue="y9DYY22NAw8r3854qmpR/ObH7gKwS0kxiU5koGRoziU8GT9M8dDXYMSPVu+um/CqVq9jEeuucnA2vGKXq9aajQ==" saltValue="zd8vkFTYSCymvcQ+O5Fyog==" spinCount="100000" sheet="1" selectLockedCells="1"/>
  <mergeCells count="6">
    <mergeCell ref="H3:H4"/>
    <mergeCell ref="I3:I4"/>
    <mergeCell ref="C3:C4"/>
    <mergeCell ref="E3:E4"/>
    <mergeCell ref="F3:F4"/>
    <mergeCell ref="G3:G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Equations!$T$2:$T$4</xm:f>
          </x14:formula1>
          <xm:sqref>E5:H14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Instructions</vt:lpstr>
      <vt:lpstr>Definitions</vt:lpstr>
      <vt:lpstr>1) General Information</vt:lpstr>
      <vt:lpstr>2) Response Component Inputs</vt:lpstr>
      <vt:lpstr>3) Open Pit Criteria</vt:lpstr>
      <vt:lpstr>4) Underground Mine Criteria</vt:lpstr>
      <vt:lpstr>5) Waste Rock Criteria</vt:lpstr>
      <vt:lpstr>6) Heap_Dump Leach Criteria</vt:lpstr>
      <vt:lpstr>7) Tailings Criteria</vt:lpstr>
      <vt:lpstr>8) Process Pond_Res. Criteria</vt:lpstr>
      <vt:lpstr>9) Slag Pile Criteria</vt:lpstr>
      <vt:lpstr>10) Waste Disposal Criteria</vt:lpstr>
      <vt:lpstr>11) Drainage Criteria</vt:lpstr>
      <vt:lpstr>12) Short-Term O&amp;M Criteria</vt:lpstr>
      <vt:lpstr>13) Interim O&amp;M Criteria</vt:lpstr>
      <vt:lpstr>14) Long-Term O&amp;M Criteria</vt:lpstr>
      <vt:lpstr>15) Water Treatment Criteria</vt:lpstr>
      <vt:lpstr>Detailed Response Component</vt:lpstr>
      <vt:lpstr>Summary</vt:lpstr>
      <vt:lpstr>Equations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J. Benware, U.S. EPA</dc:creator>
  <cp:lastModifiedBy>Richard J. Benware, U.S. EPA</cp:lastModifiedBy>
  <dcterms:created xsi:type="dcterms:W3CDTF">2016-09-29T13:42:40Z</dcterms:created>
  <dcterms:modified xsi:type="dcterms:W3CDTF">2017-02-01T20:51:36Z</dcterms:modified>
</cp:coreProperties>
</file>