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25" windowWidth="12120" windowHeight="9015" activeTab="0"/>
  </bookViews>
  <sheets>
    <sheet name="Introduction" sheetId="1" r:id="rId1"/>
    <sheet name="Summary" sheetId="2" r:id="rId2"/>
    <sheet name="Historical Remedies" sheetId="3" r:id="rId3"/>
    <sheet name="P&amp;T 2008-30" sheetId="4" r:id="rId4"/>
    <sheet name="SVE 2008-20030" sheetId="5" r:id="rId5"/>
    <sheet name="Multi-Phase Extraction" sheetId="6" r:id="rId6"/>
    <sheet name="Air Sparging 2008-2030" sheetId="7" r:id="rId7"/>
    <sheet name="Thermal Desorption 2008-2030" sheetId="8" r:id="rId8"/>
  </sheets>
  <definedNames>
    <definedName name="_xlnm.Print_Area" localSheetId="3">'P&amp;T 2008-30'!$A$1:$I$156</definedName>
    <definedName name="_xlnm.Print_Titles" localSheetId="2">'Historical Remedies'!$6:$9</definedName>
  </definedNames>
  <calcPr fullCalcOnLoad="1"/>
</workbook>
</file>

<file path=xl/sharedStrings.xml><?xml version="1.0" encoding="utf-8"?>
<sst xmlns="http://schemas.openxmlformats.org/spreadsheetml/2006/main" count="1302" uniqueCount="451">
  <si>
    <t>[15] This analysis does not account for energy-consumption reductions attributed to combined technology applications with shared below-ground components and/or above-ground treatment processes.</t>
  </si>
  <si>
    <t>**  excluding future market changes in cost of fossil-derived crude product or increased costs for future CCS market/regulatory systems</t>
  </si>
  <si>
    <t>(2007 dollars) **</t>
  </si>
  <si>
    <t>[e] Figure for 2005 from ASR 12th ed., Figure 25. Other years assume a project operational life of 30 years.</t>
  </si>
  <si>
    <t>[b] Assumes average project duration of 30 years. See "Key Inputs" at the bottom of this tab.</t>
  </si>
  <si>
    <r>
      <t xml:space="preserve">[a] Average number of extraction wells per 74 P&amp;T projects (systems) analyzed in Table(s) 6 "screening summary" of </t>
    </r>
    <r>
      <rPr>
        <i/>
        <sz val="9"/>
        <color indexed="20"/>
        <rFont val="Arial"/>
        <family val="2"/>
      </rPr>
      <t>Groundwater Pump and Treat Systems: Summary of Selected Cost and Performance Information at Superfund-Financed Sites</t>
    </r>
    <r>
      <rPr>
        <sz val="9"/>
        <color indexed="20"/>
        <rFont val="Arial"/>
        <family val="2"/>
      </rPr>
      <t xml:space="preserve"> (December 2001).</t>
    </r>
  </si>
  <si>
    <t>[e] Assumes treatment of metals through no/low-energy passive processes (precipitation, neutralization, oil/water separation, filtration), and organics through a 15-kW UV/oxidation unit (without a heat exchanger) treating 1,000 gal/day, consuming 131,400 kWh/yr.</t>
  </si>
  <si>
    <t>(MT) *</t>
  </si>
  <si>
    <t>Emission</t>
  </si>
  <si>
    <t>Annually</t>
  </si>
  <si>
    <t>Low</t>
  </si>
  <si>
    <t>High</t>
  </si>
  <si>
    <t>Middle</t>
  </si>
  <si>
    <t>Reduction in electricity consump. achieved by intermittent pumping (%)</t>
  </si>
  <si>
    <t xml:space="preserve">Data monitoring/processing </t>
  </si>
  <si>
    <t>Annual Fuel Consump, field activities</t>
  </si>
  <si>
    <t>Items</t>
  </si>
  <si>
    <t>Fuel</t>
  </si>
  <si>
    <t xml:space="preserve">(Gallons) </t>
  </si>
  <si>
    <t>(Gallons)</t>
  </si>
  <si>
    <t>Ave. No. of</t>
  </si>
  <si>
    <t xml:space="preserve">No. in </t>
  </si>
  <si>
    <t>Design or</t>
  </si>
  <si>
    <t>No.</t>
  </si>
  <si>
    <t>Currently</t>
  </si>
  <si>
    <t>Use over</t>
  </si>
  <si>
    <t>Use</t>
  </si>
  <si>
    <t>Fuel Cost</t>
  </si>
  <si>
    <t>Over Project</t>
  </si>
  <si>
    <t>Fuel Use</t>
  </si>
  <si>
    <t>Emission Over</t>
  </si>
  <si>
    <t>(MT)</t>
  </si>
  <si>
    <t>Worksheet 5: Estimated Fuel Consumption and Fuel CO2 Emissions for a "Typical" P&amp;T System</t>
  </si>
  <si>
    <t>Worksheet 7: Total Energy Consumption and CO2 Emissions for All Superfund P&amp;T Systems: 2008-2030</t>
  </si>
  <si>
    <t>kWh Per Unit</t>
  </si>
  <si>
    <t>CO2 Emissions Per Unit</t>
  </si>
  <si>
    <t>Energy Cost Per Unit</t>
  </si>
  <si>
    <t>Gallons of Fuel Per Unit</t>
  </si>
  <si>
    <r>
      <t>Notes:</t>
    </r>
    <r>
      <rPr>
        <sz val="10"/>
        <rFont val="Arial"/>
        <family val="0"/>
      </rPr>
      <t xml:space="preserve"> This is for 23 years of operation. Total system life averages 30 years.</t>
    </r>
  </si>
  <si>
    <t>Total National kWh: All Units</t>
  </si>
  <si>
    <t>Total Gallons of Fuel All Units</t>
  </si>
  <si>
    <t>Total CO2 Emissions All Units</t>
  </si>
  <si>
    <t>Total Energy Cost: All  Unit</t>
  </si>
  <si>
    <t>U.S. EIA web site, January 2008. http://www.eia.doe.gov/oil_gas/petroleum/data_publications/wrgp/mogas_home_page.html</t>
  </si>
  <si>
    <t>O&amp;M Activities</t>
  </si>
  <si>
    <t>Reduction in electricity consumption achieved by energy-efficient measures (%)</t>
  </si>
  <si>
    <t>Worksheet 1.  Plus and minus 25%.</t>
  </si>
  <si>
    <t>Assumes industry planning default of 30 years. Plus and minus 40%.</t>
  </si>
  <si>
    <t xml:space="preserve">Assumes the average project takes five years to complete predesign, design, and construction. Therefore, 20% of the design/construction backlog becomes operational each year. The low and high assumptions are based on 6 years 4 years, respectively. </t>
  </si>
  <si>
    <t>Average number of extraction wells per 74 P&amp;T projects (systems) analyzed in Table(s) 6 "screening summary" of Groundwater Pump and Treat Systems: Summary of Selected Cost and Performance Information at Superfund-Financed. Plus and minus 33%</t>
  </si>
  <si>
    <t>Assumes use of 10-hp submersible pumps with uninsulated pipes.</t>
  </si>
  <si>
    <t>Assumes use of 1.5-hp pump with 5-hp compressor.</t>
  </si>
  <si>
    <t>Key General Inputs</t>
  </si>
  <si>
    <t>Fuel cost/gallon ($)</t>
  </si>
  <si>
    <t>CO2 emitted per gal. of fuel used (lbs)</t>
  </si>
  <si>
    <t>Approximately plus and minus 25%</t>
  </si>
  <si>
    <t>Approximately plus and minus 15%</t>
  </si>
  <si>
    <t>Data monitoring/processing (kWh/yr)</t>
  </si>
  <si>
    <t>P&amp;T-Specific Inputs</t>
  </si>
  <si>
    <t>Ave. no. of above-ground pump/treat houses</t>
  </si>
  <si>
    <t>Ave. no. of aboveground treatment systems</t>
  </si>
  <si>
    <t>Worksheet 8: Key Inputs</t>
  </si>
  <si>
    <t>% of U.S. electricity from fossil fuels (%)</t>
  </si>
  <si>
    <t>Comments</t>
  </si>
  <si>
    <t>Not linear, because, under shorter period projects are being closed out, while under longer period, pumping continues beyond 23-year period.</t>
  </si>
  <si>
    <t>*    reflecting factor of 0.71 for portion of U.S. electricity load met by fossil fuels.</t>
  </si>
  <si>
    <t>Pump &amp; Treat</t>
  </si>
  <si>
    <t>Total National Elect.: All Units</t>
  </si>
  <si>
    <t>Electricity Per Unit</t>
  </si>
  <si>
    <t>Average operational duration of a P&amp;T sys.</t>
  </si>
  <si>
    <t>Assumes data processing consumption equivalent to 10 PCs, 5 monochrome monitors, 6 dot-matrix printers, 2 ink-jet printers, 1 laptop, 1 fax machine, 1 modem, and 1 photocopier. Assumption of plus and minus 20%</t>
  </si>
  <si>
    <t>CO2 emitted per gallon of gasoline consumed (lbs)</t>
  </si>
  <si>
    <t>CO2 emitted per gallon of diesel consumed (lbs)</t>
  </si>
  <si>
    <t>Average fuel price for gasoline</t>
  </si>
  <si>
    <t xml:space="preserve">Average fuel price for diesel </t>
  </si>
  <si>
    <t>U.S. DOE, EIA, web site. February  2008.  http://www.eia.doe.gov/oiaf/1605/coefficients.html</t>
  </si>
  <si>
    <t>EIA, Feb. 2008. Data for Dec. 2007</t>
  </si>
  <si>
    <t>Assumes 25% downtime for routine maint., repair, and partial overnight shutdown No high option needed, because they cannot run equipment more than full time.</t>
  </si>
  <si>
    <t>Assumption of 60% as the minimum achievable if all new electricity capacity (EIA forecast) is non-fossil fuel based. High valule assumes currnet value.</t>
  </si>
  <si>
    <t>0.7456 KW/HP as above</t>
  </si>
  <si>
    <t>e.g., lighting, air control, computer systems, portable equipment,  based on a 2003 estimate of 8.2 kWh per square foot of "service" building (EIA, Table C21, 2006).</t>
  </si>
  <si>
    <t>Pounds per metric ton</t>
  </si>
  <si>
    <t>U.S. EIA web site, January 2008.  Price as of 12/07. All grades plus taxes. http://www.eia.doe.gov/oil_gas/ petroleum/data_publications/wrgp/mogas_home_page.</t>
  </si>
  <si>
    <t>Total, five technologies</t>
  </si>
  <si>
    <t>Worksheet 1: Estimated Number of SVE Projects 2001-2007</t>
  </si>
  <si>
    <t xml:space="preserve">Average    2001-2005 </t>
  </si>
  <si>
    <t xml:space="preserve">[a]  2001-2005 data are from ASR: Appendix A. 2005 data are projected as described in note [b]. </t>
  </si>
  <si>
    <t>Worksheet 2:  Estimated Status of SVE Projects: 1982-2007</t>
  </si>
  <si>
    <t>Total No. of Projects</t>
  </si>
  <si>
    <t>No. in Design or</t>
  </si>
  <si>
    <t>No. Currently</t>
  </si>
  <si>
    <t>Operational [c]</t>
  </si>
  <si>
    <t>Completed [d]</t>
  </si>
  <si>
    <t>[d] Value for 2005 per ASR Draft 12th edition, Table 3. Other years assume design and installation takes two years. See "Key Inputs" at the bottom of this tab.</t>
  </si>
  <si>
    <t>Worksheet 3: Estimated Annual Change in SVE Projects: 2008-2030</t>
  </si>
  <si>
    <t>In Design or Installation [a] [b]</t>
  </si>
  <si>
    <t>Currently Operational [a]</t>
  </si>
  <si>
    <t>Cumulative No. Completed [b]</t>
  </si>
  <si>
    <t>[a] Assumes the average project takes 2 years to complete predesign, design, and construction. See "Key Inputs" at the bottom of this tab.</t>
  </si>
  <si>
    <t>[b] Assumes 3-year duration of operations. See "Key Inputs" at the bottom of this tab.</t>
  </si>
  <si>
    <t>Vacuum blower [a] [b]</t>
  </si>
  <si>
    <t>Aboveground treatment shed [c]</t>
  </si>
  <si>
    <t>Off-gas treatment system [d] [e]</t>
  </si>
  <si>
    <t>[a] Assumes no assistance from air injection wells, and treatment of vapor from multiple wells after gravity-feed to a (no-energy) vapor/liquid separator.</t>
  </si>
  <si>
    <t>[b] Assumes use of a 15-hp regenerative blower.</t>
  </si>
  <si>
    <t>[c] Assumes 200-sf conventionally constructed building to house air/water separator, vapor treatment units, and auxiliary equipment, with 10% of 2,000-sf building's energy intensity (as estimated for P&amp;T housing).</t>
  </si>
  <si>
    <t>Average annual number of SVE systems installed during 2001-2005</t>
  </si>
  <si>
    <t>Worksheet 1.</t>
  </si>
  <si>
    <t>Average operational duration of SVE systems</t>
  </si>
  <si>
    <t>Assumes 3-year duration of treatment system operations, based on ASR 11th edition (2004), Table 3 estimate of 5 years as the average number of years from ROD signature until SVE project completion, and excluding 2 years for design and construction</t>
  </si>
  <si>
    <t>Assumes the average project takes two years to complete predesign, design, and construction. Therefore, 50% of the design/construction backlog become operational each year. If this figure were increased the asymptotic result in later years would be reduced</t>
  </si>
  <si>
    <t>Average number of vacuum blowers</t>
  </si>
  <si>
    <t>Average number of aboveground treatment sheds</t>
  </si>
  <si>
    <t>Average number of off-gas treatment systems</t>
  </si>
  <si>
    <t>[a] ASR, Draft 12th edition, Table 3 and Appendix A reports 248 thorugh most of 2005. An additional 1 site is extrapolated to the end of 2005</t>
  </si>
  <si>
    <t>[c] The number of operating projects fluctuates from year to year, with an average of 541 over the 23-year period.</t>
  </si>
  <si>
    <r>
      <t>(b) ASR-defined</t>
    </r>
    <r>
      <rPr>
        <i/>
        <sz val="8"/>
        <rFont val="Arial"/>
        <family val="2"/>
      </rPr>
      <t xml:space="preserve"> "</t>
    </r>
    <r>
      <rPr>
        <sz val="8"/>
        <rFont val="Arial"/>
        <family val="2"/>
      </rPr>
      <t>innovative"</t>
    </r>
    <r>
      <rPr>
        <i/>
        <sz val="8"/>
        <rFont val="Arial"/>
        <family val="2"/>
      </rPr>
      <t xml:space="preserve"> </t>
    </r>
    <r>
      <rPr>
        <sz val="8"/>
        <rFont val="Arial"/>
        <family val="2"/>
      </rPr>
      <t>technologies appear in italics; 47% and 48% of projects initiated in FY 2004 and 2005, respectively, used innovative technologies.</t>
    </r>
  </si>
  <si>
    <t>Total No.</t>
  </si>
  <si>
    <t>of Projects</t>
  </si>
  <si>
    <t>Electricity Cost</t>
  </si>
  <si>
    <t>over Project</t>
  </si>
  <si>
    <t>In Design or Installation    [a, b]</t>
  </si>
  <si>
    <t>Electricity Use</t>
  </si>
  <si>
    <t xml:space="preserve">[c] The number of operating projects fluctuates from year to year, with an average of 29 over the 23-year period. </t>
  </si>
  <si>
    <t>[d] Assumes granular activated carbon (GAC) system based on estimate that 70% of Superfund sites with available SVE data use GAC, per Off-Gas Treatment Technologies for Soil Vapor Extraction Systems: State of the Practice, March 2006.</t>
  </si>
  <si>
    <t xml:space="preserve"> Shut Downs [e]</t>
  </si>
  <si>
    <t>[e] Assumes (no-energy) transfer of vapor to two fixed-bed GAC adsorbent vessels, each with a carbon adsorber regeneration system using one 7.5-hp (48,986 kWh/yr) steam generator and one 5-hp (32,657 kWh/year) air blower, totaling 81,643 kWh/yr.</t>
  </si>
  <si>
    <t xml:space="preserve">[e] Value for 2005 per ASR 12th ed., Table 3. Other years assume average system operates 3 years. See "Key Inputs" in worksheet 8. </t>
  </si>
  <si>
    <t>[c]  The number of applications for 2006 and 2007 are assumed to equal the average for 2001-2005. This low level seems plausible, given the decrease in additions to the NPL from an annual average of 26 for 1996-2000 to 19.4 for the 2001-2005 period.</t>
  </si>
  <si>
    <t xml:space="preserve"> ** Assume $3.02 per gallon.</t>
  </si>
  <si>
    <t>Worksheet 6: Total Energy Consumption and CO2 Emissions for a Typical Superfund P&amp;T System: 2008-2030</t>
  </si>
  <si>
    <t>Worksheet 4: Estimated Electricity Consumption and Cost and CO2 Emissions for a "Typical" SVE System</t>
  </si>
  <si>
    <t>Worksheet 5: Estimated Fuel Consumption and Cost and Fuel CO2 Emissions for a "Typical" SVE System</t>
  </si>
  <si>
    <t>Worksheet 6: Total Energy Consumption and Costs and CO2 Emissions for a Typical Superfund SVE System: 2008-2030</t>
  </si>
  <si>
    <t>Worksheet 7: Total Energy Consumption and Costs and CO2 Emissions for All Superfund SVE Systems: 2008-2030</t>
  </si>
  <si>
    <t>Tab 5: Soil Vapor Extraction  NPL Projects: 2008-2030</t>
  </si>
  <si>
    <t>Tab 4: Pump &amp; Treat  NPL Projects: 2008-2030</t>
  </si>
  <si>
    <t>Worksheet 1: Estimated Number of MPE Projects 2001-2007</t>
  </si>
  <si>
    <t>No. of MPE Applications Selected [a]</t>
  </si>
  <si>
    <t>[c]  The number of applications for 2006 and 2007 are assumed to equal the average for 2001-2005 (3.2). This low level seems plausible, given the decrease in additions to the NPL from an annual average of 26 for 1996-2000 to 19.4 for the 2001-2005 period.</t>
  </si>
  <si>
    <t>Worksheet 2:  Estimated Status of MPE Projects: 1982-2007</t>
  </si>
  <si>
    <t xml:space="preserve">[a] ASR, Draft 12th edition, Table 3 and Appendix A reports 46. An additional 1 site is extrapolated to the end of 2005. </t>
  </si>
  <si>
    <t>[c] For 2005, ASR Draft 12th edition, Table 3. reports 10 projects. An additional 1 site is extrapolated to the end of 2005. Other years assume the average project takes 2 years for design and construction.</t>
  </si>
  <si>
    <t>Worksheet 6: Total Energy Consumption and Costs and CO2 Emissions for a Typical Superfund Thermal Adsorption Systems: 2008-2030</t>
  </si>
  <si>
    <t>Worksheet 7: Total Energy Consumption and Costs and CO2 Emissions for All Superfund Thermal Desorption Systems: 2008-2030</t>
  </si>
  <si>
    <t>Worksheet 5: Estimated Fuel Consumption, Cost and CO2 Emissions for a Typical Thermal Desorption System</t>
  </si>
  <si>
    <t>Worksheet 6: Total Energy Consumption and Costs and CO2 Emissions for a Typical Superfund Ait Sparging System: 2008-2030</t>
  </si>
  <si>
    <t>Worksheet 7: Total Energy Consumption and Costs and CO2 Emissions for All Superfund Air Sparging System: 2008-2030</t>
  </si>
  <si>
    <t>2008-2030 *</t>
  </si>
  <si>
    <t>(kWh) [d]</t>
  </si>
  <si>
    <t>(MT) [d]</t>
  </si>
  <si>
    <t>[d] Note: These figurs assume that one system operates continually for 23 years, although the average system duration is 4 months. Thus, the arithmetic for this cell is slightly different than that used for other technologies because project duration is less than one year.</t>
  </si>
  <si>
    <t>(MT) [d}</t>
  </si>
  <si>
    <t>(Gallons) [d]</t>
  </si>
  <si>
    <t>Thermal Desorption *</t>
  </si>
  <si>
    <t xml:space="preserve"> * Thermal desorption project durations average only four months. The figures show are for 12 months of operations, or three thermal desorption projects.</t>
  </si>
  <si>
    <t xml:space="preserve">    - Fossil fuel used for containment, periodic sampling, transportation, or disposal of contaminated media or treatment products or for routine field activities;</t>
  </si>
  <si>
    <t xml:space="preserve">    - Air emissions from treatment systems (typically containing contaminants at concentrations below regulatory thresholds);</t>
  </si>
  <si>
    <t xml:space="preserve">    - Field trials during remediation design;</t>
  </si>
  <si>
    <t xml:space="preserve">    - Consideration will be given to including construction and installation activities at a later date.</t>
  </si>
  <si>
    <t xml:space="preserve">[5] All costs are in constant 2007 dollars. Actual costs in the future are likely to be higher, and forecasted inflation can be built into these calculations. </t>
  </si>
  <si>
    <t>ATTACHMENT A: DETAILED CALCULATIONS FOR FIVE TECHNOLOGIES AT NPL SITES</t>
  </si>
  <si>
    <r>
      <t>[7] This analysis assumes fossil sources account for 71% of U.S. electricity demand. Source: U.S. Energy Information Administration, DOE, "Net Generation by Energy Source by Type of Producer,"</t>
    </r>
    <r>
      <rPr>
        <sz val="9"/>
        <rFont val="Arial"/>
        <family val="2"/>
      </rPr>
      <t xml:space="preserve"> October 22, 2007. http://www.eia.doe.gov/cneaf/electricity/epa/epat1p1.html. DOE publishes averages of this value by region, and specific sites of local areas can have different values. Other values may be used in the model, simply by changing the figure in the "Key Inputs" table below. </t>
    </r>
  </si>
  <si>
    <t>[11] This analysis assumes 24 hr/day continuous system operation less 5% for repair and maintenance. It does, not reflect other scheduled or unscheduled suspensions of operations.</t>
  </si>
  <si>
    <t>[12] This analysis does not account for operating efficiency of treatment systems, which can be highly variable.</t>
  </si>
  <si>
    <t>[d] Value for 2005 per ASR 12th ed. Table 3. Other years assume average system operates 3 years. See "Key Inputs" at the bottom of this tab.</t>
  </si>
  <si>
    <t>Worksheet 3: Estimated Annual Change in MPE Projects:2008-2030</t>
  </si>
  <si>
    <t>Total No. of Projects  (Cumulative) [d]</t>
  </si>
  <si>
    <t>Worksheet 4: Estimated Electricity Consumption and CO2 Emissions for a "Typical" MPE System</t>
  </si>
  <si>
    <t xml:space="preserve">Extraction pumps [a] </t>
  </si>
  <si>
    <t>Vacuum blower [b]</t>
  </si>
  <si>
    <t>[a] Assumes dual-line system using 20-hp submersible pumps with uninsulated pipes to extract and divert water to gravity-fed vapor/water separator.</t>
  </si>
  <si>
    <t>[b] Assumes use of 15-hp regenerative blower with no assistance from air injection wells.</t>
  </si>
  <si>
    <t>[c] Assumes 400-sf conventionally constructed building to house vapor/water separator, vapor treatment unit, water treatment unit, and auxiliary equipment.</t>
  </si>
  <si>
    <t xml:space="preserve">[d] Assumes GAC system based on estimate that 70% of Superfund sites with available SVE data use GAC, per </t>
  </si>
  <si>
    <r>
      <t>Off-Gas Treatment Technologies for Soil Vapor Extraction Systems: State of the Practice</t>
    </r>
    <r>
      <rPr>
        <sz val="9"/>
        <color indexed="20"/>
        <rFont val="Arial"/>
        <family val="2"/>
      </rPr>
      <t>, March 2006.</t>
    </r>
  </si>
  <si>
    <t xml:space="preserve">[e] Assumes (no-energy) transfer of vapor to two fixed-bed GAC adsorbent vessels, each with a carbon adsorber regeneration system using  </t>
  </si>
  <si>
    <t>one 7.5-hp (48,986 kWh/yr) steam generator and one 5-hp (32,657 kWh/year) air blower, totaling 81,643 kWh/yr.</t>
  </si>
  <si>
    <t>Average annual number of MPE systems installed during 2001-2005</t>
  </si>
  <si>
    <t>Average operational duration of MPE systems</t>
  </si>
  <si>
    <t>Assumes the average project takes two years to complete predesign, design, and construction. Therefore, 50% of the design/construction backlog becomes operational each year. If this figure were increased the asymptotic result in later years would be reduced.</t>
  </si>
  <si>
    <t xml:space="preserve">[c] The number of operating projects fluctuates from year to year, with an average of 11 over the 23-year period. </t>
  </si>
  <si>
    <t>[d] Assumes 46 "historic" source-control projects do not duplicate 26 "historic" ground water-control projects.</t>
  </si>
  <si>
    <t>Tab 5: Multi-Phase Extraction  NPL Projects: 2008-2030</t>
  </si>
  <si>
    <t>Worksheet 5: Estimated Fuel Consumption and Cost and Fuel CO2 Emissions for a "Typical" MPE System</t>
  </si>
  <si>
    <t>Worksheet 7: Total Energy Consumption and Costs and CO2 Emissions for All Superfund MPE Systems: 2008-2030</t>
  </si>
  <si>
    <t>Worksheet 6: Total Energy Consumption and Costs and CO2 Emissions for a Typical Superfund MPE System: 2008-2030</t>
  </si>
  <si>
    <t>MPE-Specific Inputs</t>
  </si>
  <si>
    <t>Ave.% of projects in predesign, design, or construction that become operational in a year</t>
  </si>
  <si>
    <t>Average no. of aboveground transfer systems</t>
  </si>
  <si>
    <t>Assume general 25% reduction by equipment down-sizing, insulated pump/transfer pipes, aboveground green-building construction and maint., and energy-efficient IT system. No high option, because it is assumed that efficiency would not deteriorate.</t>
  </si>
  <si>
    <t>Assume 38-gal used each week by one Ford F350 truck for mechanical monitoring, sampling, equip. repair, etc.</t>
  </si>
  <si>
    <t>Annual fuel consumption for routine field activities</t>
  </si>
  <si>
    <t>Ave annual P&amp;T systems instalations 2001-2005</t>
  </si>
  <si>
    <t>Assume 38-gal used each week by one Ford F350 truck for mechanical monitoring, sampling, equip. repair, etc</t>
  </si>
  <si>
    <t>Annual fuel use, routine field activities (gal)</t>
  </si>
  <si>
    <t>Worksheet: 8 Key Inputs</t>
  </si>
  <si>
    <t>Worksheet 8: Key Inputs: Air Sparging</t>
  </si>
  <si>
    <t>Air Sparging-Specific Inputs</t>
  </si>
  <si>
    <t>Tab 5: Thermal Desorption NPL Projects: 2008-2030</t>
  </si>
  <si>
    <t>Worksheet 1: Estimated Number of Thermal Desoption Projects 2001-2007</t>
  </si>
  <si>
    <t>No. of TD Applications Selected [a]</t>
  </si>
  <si>
    <t>[c]  The no. of applications for 2006 and 2007 are assumed to equal the average for 2001-2005 (2.5). This low level seems plausible, given the decrease in additions to the NPL from an annual average of 26 for 1996-2000 to 19.4 for the 2001-2005 period.</t>
  </si>
  <si>
    <t>Worksheet 2:  Estimated Status of Thermal Desorption Projects: 1982-2007</t>
  </si>
  <si>
    <t xml:space="preserve">[a] ASR, Draft 12th edition, Table 3, and Appendix A report 71 projects.  </t>
  </si>
  <si>
    <t>[c] Value for 2005, per ASR, Draft 12th edition, Table 3. For later years, it is assumed that the average project takes 2 years for predesign, design, and contruction. See "Key Inputs" at the bottom of this tab.</t>
  </si>
  <si>
    <t>[d] Assumes a four month project duration for a typical project. See "Key Inputs" at the bottom of this tab.</t>
  </si>
  <si>
    <t>Worksheet 3: Estimated Annual Change in Thermal Desorption Projects: 2008-2030</t>
  </si>
  <si>
    <t>Currently     Operational [a]</t>
  </si>
  <si>
    <t>[a] Assumes the average project takes 1 year to complete predesign, design, and construction. See "Key Inputs" at bottom of this tab.</t>
  </si>
  <si>
    <t>[b] Assumes four-month duration of operations. See "Key Inputs" at the bottom of this tab.</t>
  </si>
  <si>
    <t xml:space="preserve">Comments are welcome, and may be submitted to: Carlos S. Pachon
Office of Superfund Remediation and Technology Innovation
U.S. EPA
pachon.carlos@epa.gov
(703) 603-9904
Fax (703) 603-9135
</t>
  </si>
  <si>
    <t>c] Because the number of operating projects will average about 2 per year, and the duration of the operations of the average project is only four months, the yearly work load would remain approximately constant at 2 per year. The 57 figure represents "project-years," and is equal to 2 x 23 (after rounding).</t>
  </si>
  <si>
    <t>Worksheet 4: Estimated Electricity Consumption and CO2 Emissions for a "Typical" Thermal Desorption System</t>
  </si>
  <si>
    <t>Annualized</t>
  </si>
  <si>
    <t>Treatment Components [a]</t>
  </si>
  <si>
    <t>Rotary dryer [b]</t>
  </si>
  <si>
    <t xml:space="preserve">Off-gas treatment system [c] </t>
  </si>
  <si>
    <t>Total for average thermal desorption system</t>
  </si>
  <si>
    <t>[a] Does not reflect high volume of gas fuel used by equipment for excavation and transportation prior to active treatment.</t>
  </si>
  <si>
    <t>[b] Assumes use of 40M-BTU (11,712 kWh) dryer consuming 102,597,120 kWh/year.</t>
  </si>
  <si>
    <t xml:space="preserve">[c] Assumes thermal (catalytic) oxidation with 20-kW heating element (without a heat exchanger) consuming 175,200 kWh/yr and a no-energy venturi scrubber. </t>
  </si>
  <si>
    <t>[a] Arithmetic for this cell is slightly different than that used for other technologies because project duration is less than one year.</t>
  </si>
  <si>
    <t>Average annual number of thermal desorption systems installed during 2001-2005</t>
  </si>
  <si>
    <t>Average operational duration of thermal desoption systems</t>
  </si>
  <si>
    <t xml:space="preserve">Assumes 4-month duration of "standard" application treating volume of 20,000 tons (FRTR "Screening Matrix and Reference Guide, 4.0"). </t>
  </si>
  <si>
    <t>Percentage of projects in predesign, design, and construction that become operational during the year, on average.</t>
  </si>
  <si>
    <t>Assumes the average project takes two years to complete predesign, design, and construction. Therefore, 50% of the design/construction backlog becomes operational each year. If this figure were increased the asymptotic result in later years would be reduced</t>
  </si>
  <si>
    <t>Average annual energy consumption of rotary dryer</t>
  </si>
  <si>
    <t>Average annual energy consumption of off-gas treatment system</t>
  </si>
  <si>
    <t>(2007 dollars)</t>
  </si>
  <si>
    <t>SVE-Specific Inputs</t>
  </si>
  <si>
    <t>No. of SVE Applica-tions Selected [a]</t>
  </si>
  <si>
    <t>Assumes dual-line system using 20-hp submersible pumps with uninsulated pipes to extract and divert water to gravity-fed vapor/water separator.</t>
  </si>
  <si>
    <t>Assumes use of 15-hp regenerative blower with no assistance from air injection wells.</t>
  </si>
  <si>
    <t>Assumes 400-sf conventionally constructed building to house vapor/water separator, vapor treatment unit, water treatment unit, and auxiliary equipment.</t>
  </si>
  <si>
    <t>Assumes GAC system based on estimate that 70% of Superfund sites with available SVE data use GAC, per Off-Gas Treatment Technologies for Soil Vapor Extraction Systems: State of the Practice, March 2006.</t>
  </si>
  <si>
    <t>Worksheet 8: Key Inputs: Multi-Phase Extraction</t>
  </si>
  <si>
    <t>Worksheet 1: Estimated Number of Air Sparging Projects 2001-2007</t>
  </si>
  <si>
    <t xml:space="preserve">[a]  2001-2005 data are from ASR 12th. Ed, Appendix A. 2005 data are projected as descibed in note [b]. </t>
  </si>
  <si>
    <t>[c]  The number of applications for 2006 and 2007 are assumed to equal the average for 2001-2005 (2.8). This low level seems plausible, given the decrease in additions to the NPL from an annual average of 26 for 1996-2000 to 19.4 for the 2001-2005 period.</t>
  </si>
  <si>
    <t>Worksheet 2:  Estimated Status of Air Sparging Projects: 1982-2007</t>
  </si>
  <si>
    <t xml:space="preserve">[a] ASR, Draft 12th edition, Table 10, and Appendix A reports 72. An additional 1 site is extrapolated to the end of 2005. </t>
  </si>
  <si>
    <t>[c] Value for 2005, per ASR, Draft 12th edition, Table 10. For later years, the average project is assumed to take 2 years for predesign, design, and contruction. See "Key Inputs" at the bottome of the tab.</t>
  </si>
  <si>
    <t>[d] Value for 2005 per ASR 12th ed., Table 10. Other years assume average system operates 3 years. See "Key Inputs" at the bottom of this tab.</t>
  </si>
  <si>
    <t>Worksheet 3: Estimated Annual Change in Air Sparging  Projects: 2008-2030</t>
  </si>
  <si>
    <t>Total No. Projects (Cumulative) [d]</t>
  </si>
  <si>
    <t>In Design or Installation [a]</t>
  </si>
  <si>
    <t>Cumulative No. Completed [b] [c]</t>
  </si>
  <si>
    <t>[a] Assumes the average project takes 2 years to complete predesign, design, and construction. See Input box at the bottom of this tab.</t>
  </si>
  <si>
    <t>[c] The number of operating projects fluctuates from year to year, with an average of 11 over the 23-year period. The 246 figure represents "project-years," and is equal to 11 x 23 (after rounding).</t>
  </si>
  <si>
    <t>[d] Assumes "historic" air sparging projects do not duplicate "historic" SVE projects, since the technologies are often used jointly.</t>
  </si>
  <si>
    <t>Worksheet 4: Estimated Electricity Consumption and CO2 Emissions for a "Typical" Air Sparging System</t>
  </si>
  <si>
    <r>
      <t xml:space="preserve">A description of the methodology, sources, assumptions, and results in included the paper </t>
    </r>
    <r>
      <rPr>
        <i/>
        <sz val="12"/>
        <rFont val="Arial"/>
        <family val="2"/>
      </rPr>
      <t xml:space="preserve">Energy Consumption and Carbon Dioxide Emissions at Superfund Cleanups, April 15, 2008. </t>
    </r>
    <r>
      <rPr>
        <sz val="12"/>
        <rFont val="Arial"/>
        <family val="2"/>
      </rPr>
      <t xml:space="preserve">This current draft is based on Version 1.0 of the model, which covers initial calculations for five technologies at NPL sites. As EPA receives comments and additional data become available, EPA expects to update these estimates as appropriate. The methodology may also be applied to other technologies and other cleanup programs. 
</t>
    </r>
  </si>
  <si>
    <t>Average No. of</t>
  </si>
  <si>
    <t xml:space="preserve">Emission over </t>
  </si>
  <si>
    <t>(lbs)</t>
  </si>
  <si>
    <t>Injection well condensor [a]</t>
  </si>
  <si>
    <t xml:space="preserve">[a} Assumes use of a single 100-hp non-pulsed air condensor connected to six injection wells. </t>
  </si>
  <si>
    <t>[c] Assumes a 200-sf conventionally constructed building to house air/water separator, vapor treatment units, and auxilliary equipment.</t>
  </si>
  <si>
    <t xml:space="preserve">[e] Assumes (no-energy) transfer of vapor to two fixed-bed GAC adsorbent vessels, each using a carbon adsorber regeneration system employing </t>
  </si>
  <si>
    <t>Average annual number of air spargin systems installed during 2001-2005</t>
  </si>
  <si>
    <t>Average operational duration of air sparging systems</t>
  </si>
  <si>
    <t xml:space="preserve">Assumes 4-year duration based on (similar) SVE average of 5 years from ROD signature until project completion (ASR 11th ed, Table 3) and allowing 2 years for design. </t>
  </si>
  <si>
    <t>Percentag of projects in predesign, design, or construction that become operational during the year, on average.</t>
  </si>
  <si>
    <t>Average number of injection well condensors</t>
  </si>
  <si>
    <t>Tab 5: Air Sparging NPL Projects: 2008-2030</t>
  </si>
  <si>
    <t>Assumes one 38-gal tanks used each week by one Ford F350 truck for mechanical monitoring, sampling, equip. repair, etc.</t>
  </si>
  <si>
    <t>Worksheet 5: Estimated Fuel Consumption and Cost and Fuel CO2 Emissions for a "Typical" Air Sparging System</t>
  </si>
  <si>
    <t xml:space="preserve">[a]  2001-2005 data are from ASR 12th ed., Appendix A. 2005 data are projected as described in note [b]. </t>
  </si>
  <si>
    <t>[c] Value for 2005 assumed to be 18% of total P&amp;T applications in 2005, per ASR 12th ed., Figure 25.</t>
  </si>
  <si>
    <t>[d] Value for 2005 assumed to be 72% of total P&amp;T projects in 2005, per ASR 12th ed.,  Figure 25 and page 3-8.</t>
  </si>
  <si>
    <t xml:space="preserve">[a] ASR 12th ed., Appendix reports 725. An additional 4 sites are extrapolated to the end of 2005. </t>
  </si>
  <si>
    <t>[a] Assumes the average project takes five years to complete predesign, design, and construction. See "Key Inputs" at the bottom of this tab.</t>
  </si>
  <si>
    <t>Total Projects</t>
  </si>
  <si>
    <t>Components</t>
  </si>
  <si>
    <t>Treatment</t>
  </si>
  <si>
    <t>Tab 1: Introduction</t>
  </si>
  <si>
    <t>Worksheet 4: Estimated Electricity Consumption and CO2 Emissions for a "Typical" P&amp;T System</t>
  </si>
  <si>
    <t>Emission over</t>
  </si>
  <si>
    <t>Average duration of operations</t>
  </si>
  <si>
    <t>Average period in design and installation</t>
  </si>
  <si>
    <t>See individual technology tabs</t>
  </si>
  <si>
    <t>Varies with technology</t>
  </si>
  <si>
    <t>Future installations of a technology</t>
  </si>
  <si>
    <t>10-hp consumption per year (kWh)</t>
  </si>
  <si>
    <r>
      <t>Bioremediation (</t>
    </r>
    <r>
      <rPr>
        <i/>
        <sz val="9"/>
        <rFont val="Arial"/>
        <family val="2"/>
      </rPr>
      <t>a) (b)</t>
    </r>
  </si>
  <si>
    <t>5-hp consumption per year (kWh)</t>
  </si>
  <si>
    <t>20-hp consumption per year (kWh)</t>
  </si>
  <si>
    <t>100-hp consumption per year (kWh)</t>
  </si>
  <si>
    <t>CO2 emitted per kWh generated (lbs)</t>
  </si>
  <si>
    <t>1.5-hp consumption per year (kWh)</t>
  </si>
  <si>
    <t>15-hp consumption per year (kWh)</t>
  </si>
  <si>
    <t>7.5-hp consumption per year (kWh)</t>
  </si>
  <si>
    <t>[b] Assumes use of 10-hp submersible pumps with uninsulated pipes.</t>
  </si>
  <si>
    <t>[c] Assumes equipment housed in a 2,000 sf conventionally constructed building.</t>
  </si>
  <si>
    <t>Average annual energy consumption of aboveground treatment system</t>
  </si>
  <si>
    <t>Aboveground transfer system [d]</t>
  </si>
  <si>
    <t>Aboveground treatment system [e]</t>
  </si>
  <si>
    <t xml:space="preserve">[d] Assumes use of 1.5-hp pump with 5-hp compressor. </t>
  </si>
  <si>
    <t>Worksheet 1: Estimated Number of P&amp;T Projects: 2001-2007</t>
  </si>
  <si>
    <t>Tab 2: Summary, General Assumptions, and Input Variables</t>
  </si>
  <si>
    <t>Value</t>
  </si>
  <si>
    <t>Source</t>
  </si>
  <si>
    <t>Bioremediation</t>
  </si>
  <si>
    <t>Chemical Treatment</t>
  </si>
  <si>
    <t>Air Sparging</t>
  </si>
  <si>
    <t>SOURCE CONTROL: ex situ</t>
  </si>
  <si>
    <t>Incineration (off-site)</t>
  </si>
  <si>
    <t>Thermal Desorption</t>
  </si>
  <si>
    <t>SOURCE CONTROL: in situ</t>
  </si>
  <si>
    <t>Flushing</t>
  </si>
  <si>
    <t>Soil Vapor Extraction</t>
  </si>
  <si>
    <t>Solidification/Stabilization</t>
  </si>
  <si>
    <t>GROUNDWATER: in situ</t>
  </si>
  <si>
    <t>Multi-Phase Extraction</t>
  </si>
  <si>
    <t>Electrokinetics</t>
  </si>
  <si>
    <t>Notes:</t>
  </si>
  <si>
    <t>Mechanical Soil Aeration</t>
  </si>
  <si>
    <t>Phytoremediation</t>
  </si>
  <si>
    <t>Soil Washing</t>
  </si>
  <si>
    <t>Solvent Extraction</t>
  </si>
  <si>
    <t>Thermal Treatment</t>
  </si>
  <si>
    <t>Vitrification</t>
  </si>
  <si>
    <t>Air Stripping</t>
  </si>
  <si>
    <t>Permeable Reactive Barriers</t>
  </si>
  <si>
    <t>Physical Separation</t>
  </si>
  <si>
    <t>Neutralization</t>
  </si>
  <si>
    <t>Year</t>
  </si>
  <si>
    <t>Additions</t>
  </si>
  <si>
    <t>Notes</t>
  </si>
  <si>
    <t>Total, 2008-2030</t>
  </si>
  <si>
    <t>Average. 2008-2030</t>
  </si>
  <si>
    <t>2006 [c]</t>
  </si>
  <si>
    <t>2007 [c]</t>
  </si>
  <si>
    <t xml:space="preserve">Additional (126) </t>
  </si>
  <si>
    <t>2002-2005</t>
  </si>
  <si>
    <t>Number in Design</t>
  </si>
  <si>
    <t>or Construction</t>
  </si>
  <si>
    <t xml:space="preserve">Number Shut </t>
  </si>
  <si>
    <t xml:space="preserve">Total Number </t>
  </si>
  <si>
    <t>of 1982-2002</t>
  </si>
  <si>
    <t>Down as of</t>
  </si>
  <si>
    <t>Projects Analyzed</t>
  </si>
  <si>
    <t>New Projects</t>
  </si>
  <si>
    <t>as of March 2003</t>
  </si>
  <si>
    <t>March 2003</t>
  </si>
  <si>
    <t>Analyzed</t>
  </si>
  <si>
    <t>Number Operational</t>
  </si>
  <si>
    <t>Source:</t>
  </si>
  <si>
    <t>No.  Projects</t>
  </si>
  <si>
    <t>Average</t>
  </si>
  <si>
    <t>Duration</t>
  </si>
  <si>
    <t>Cost over Project</t>
  </si>
  <si>
    <t>Electricity</t>
  </si>
  <si>
    <t>Estimated CO2</t>
  </si>
  <si>
    <t>(years)</t>
  </si>
  <si>
    <t>Pump and Treat</t>
  </si>
  <si>
    <t>Consumption</t>
  </si>
  <si>
    <t>Major Energy-Consuming</t>
  </si>
  <si>
    <t xml:space="preserve">(kWh) </t>
  </si>
  <si>
    <t>Treatment Components</t>
  </si>
  <si>
    <t>Estimated NPL SItes Energy Consumption, Energy Costs</t>
  </si>
  <si>
    <t>Estimated NPL Sites Energy Consumption, Energy Costs</t>
  </si>
  <si>
    <t>Environmental Management Support, Inc. (EMS)</t>
  </si>
  <si>
    <t>(a) Technologies appearing in bold considered most common for each of the four categories; of these, energy-intensive technologies are targeted in this analysis.</t>
  </si>
  <si>
    <t>(c) New RODs using P&amp;T alone decreased from 80% in 1992 to 20% in 2001-2005.</t>
  </si>
  <si>
    <t>2005 [b]</t>
  </si>
  <si>
    <t>No. of P&amp;T Applications Selected [a]</t>
  </si>
  <si>
    <t>[b]  For 2005, the number of applications is projected for the full year, based on data for 74% of the 2005 RODs.</t>
  </si>
  <si>
    <t>1982-2005 [a]</t>
  </si>
  <si>
    <t>Construction [c]</t>
  </si>
  <si>
    <t>Operational [d]</t>
  </si>
  <si>
    <t xml:space="preserve">Extraction pumps [a] [b] </t>
  </si>
  <si>
    <t>Aboveground pump/treat house [c]</t>
  </si>
  <si>
    <t>Tab 3: Historical Use of Remediation Technologies (1)</t>
  </si>
  <si>
    <t>Key Inputs</t>
  </si>
  <si>
    <t>Annual</t>
  </si>
  <si>
    <t>Total</t>
  </si>
  <si>
    <t xml:space="preserve">Total </t>
  </si>
  <si>
    <t>2008-2030</t>
  </si>
  <si>
    <t>(kWh)</t>
  </si>
  <si>
    <t>Project Duration</t>
  </si>
  <si>
    <t>($)</t>
  </si>
  <si>
    <t>Average number of extraction pumps</t>
  </si>
  <si>
    <t>Currently Operational [a] [c]</t>
  </si>
  <si>
    <t xml:space="preserve">Average            2001-2005 </t>
  </si>
  <si>
    <t>New Projects, 2006 [b]</t>
  </si>
  <si>
    <t>New Projects, 2007 [b]</t>
  </si>
  <si>
    <t>Worksheet 2:  Estimated Status of P&amp;T Projects: 1982-2007</t>
  </si>
  <si>
    <t>Percentage of projects in predesign, design, or construction that become operational during the year, on average.</t>
  </si>
  <si>
    <t>[b] New projects for 2006 and 2007 are based on the average annual rate for 2001-2005, as shown in Worksheet 1.</t>
  </si>
  <si>
    <t>Worksheet 3: Estimated Annual Change in P&amp;T Projects: 2008-2030</t>
  </si>
  <si>
    <r>
      <t xml:space="preserve">GROUNDWATER: ex situ P&amp;T </t>
    </r>
    <r>
      <rPr>
        <sz val="11"/>
        <rFont val="Arial"/>
        <family val="2"/>
      </rPr>
      <t>(c)</t>
    </r>
  </si>
  <si>
    <t>[c]  The number of applications for 2006 and 2007 are assumed to equal the average applications for 2001-2005. This low level seems plausible, given the decrease in additions to the NPL from an annual average of 26 for 1996-2000 to 19.4 for the 2001-2005 period.</t>
  </si>
  <si>
    <t>Energy consumption of conventionally-constructed 2,000-sf building (kWh)</t>
  </si>
  <si>
    <t xml:space="preserve">    - Installation of treatment systems.</t>
  </si>
  <si>
    <t>Total No. Projects (Cumulative)</t>
  </si>
  <si>
    <t>In Design or Construction [a] [b]</t>
  </si>
  <si>
    <t>Cumulative No. Shut-Downs [b]</t>
  </si>
  <si>
    <t xml:space="preserve">Cumulative No. </t>
  </si>
  <si>
    <t>(Cumulative)</t>
  </si>
  <si>
    <t>Incineration (on-site)</t>
  </si>
  <si>
    <t>(1) ASR 12th ed., Figures 6, 10, and 11 and Table 3: status of total 2,976 1982-2005 RODs analyzed as of March 2003.</t>
  </si>
  <si>
    <t>Current electricity cost per kWh ($)</t>
  </si>
  <si>
    <t>[8] Electricity requirements of equipment are estimated at 0.7456 kW per unit of horsepower (U.S. EPA Climate Change Division, www.epa.gov/climatechange/emissions/  ("Unit Conversions," November 2004).</t>
  </si>
  <si>
    <t>[13] This analysis assumes projects described in primary information sources did not undergo RSE optimization, and does not consider current or future RSE optimization.</t>
  </si>
  <si>
    <t>[14] This analysis does not account for site-specific differences in geology/hydrogeology, contaminant types, climate, restoration goals, or proximity of electrical components.</t>
  </si>
  <si>
    <t>General Assumptions:</t>
  </si>
  <si>
    <t>[2] Exclusions from this analysis include:</t>
  </si>
  <si>
    <t>OSRTI Analysis of Superfund Energy Consumption, Energy Costs, and CO2 Emissions</t>
  </si>
  <si>
    <t>[9] "Major energy-consuming treatment components" of a remediation system are considered those with an annual electricity consumption greater than 1,000 kWh/year.</t>
  </si>
  <si>
    <t>[10] Energy consumption of activities within treatment structures (such as lighting, air control, computer systems, and portable equipment) is based on a (2003) estimated energy intensity of 8.2 kWh per square foot of "service" building (U.S. DOE Energy Information Administration, Table C21, 2006).</t>
  </si>
  <si>
    <t>[3] CO2 emissions are based on the U.S. average: 1.37 lb of CO2 emitted per kWh generated (DOE Energy Information Administration, Electric Power Annual 2005, Table 5.1); commonly reported as "million metric ton" using conversion of U.S. (short) ton equivalent to 0.90718474 metric ton.</t>
  </si>
  <si>
    <t>(lbs) *</t>
  </si>
  <si>
    <t xml:space="preserve"> Assumes no assistance from air injection wells, and treatment of vapor from multiple wells after gravity-feed to a (no-energy) vapor/liquid separator</t>
  </si>
  <si>
    <t>Assumes 200-sf conventionally constructed building to house air/water separator, vapor treatment units, and auxiliary equipment, with 10% of 2,000-sf building's energy intensity (as estimated for P&amp;T housing).</t>
  </si>
  <si>
    <t xml:space="preserve"> Assumes granular activated carbon (GAC) system based on estimate that 70% of Superfund sites with available SVE data use GAC, per Off-Gas Treatment Technologies for Soil Vapor Extraction Systems: State of the Practice, March 2006.</t>
  </si>
  <si>
    <t>Assumes use of a single 100-hp non-pulsed air condensor connected to six injection wells.</t>
  </si>
  <si>
    <t>Assumes a 200-sf conventionally constructed building to house air/water separator, vapor treatment units, and auxilliary equipment.</t>
  </si>
  <si>
    <t>Assumes use of a 15-hp regenerative blower.</t>
  </si>
  <si>
    <t>Average size of aboveground treatment shed (sf)</t>
  </si>
  <si>
    <t>Assumes conventionally constructed building to house vapor/water separator, vapor treatment unit, water treatment unit, and auxiliary equipment.</t>
  </si>
  <si>
    <t>EIA, "Annual Energy Review 2006," page 221.</t>
  </si>
  <si>
    <t>Transmission and distribution losses, U.S. average.  Multiplyer to reflect an average loss of 9%.</t>
  </si>
  <si>
    <t>Equip. requirements estimated at 0.7456 kW per unit of horsepower (U.S. EPA Climate Change Division, www.epa.gov/climatechange/emissions, (Nov. 2004) plus an adjustment for electricity transmission and distribution losses (1.0989).</t>
  </si>
  <si>
    <t>Assumes data processing consumption equivalent to 5 PCs, 3 monochrome monitors, 3 dot-matrix printers, 1 ink-jet printers, 1 laptop, 1 fax machine, 1 modem, and 1 photocopier. 30,000 kWh x 1.0989 to adjust for transmission and distribution losses.</t>
  </si>
  <si>
    <t>Assumes (no-energy) transfer of vapor to two fixed-bed GAC adsorbent vessels, each with a carbon adsorber regeneration system using one 7.5-hp (48,986 kWh/yr) steam generator and one 5-hp (32,657 kWh/year) air blower, totaling 81,643 kWh/yrWorksheet. 84,643 kWh x 1.0989 to adjust for transmission and distribution losses.</t>
  </si>
  <si>
    <t>Assumes (no-energy) transfer of vapor to two fixed-bed GAC adsorbent vessels, each with a carbon adsorber regeneration system using  one 7.5-hp (48,986 kWh/yr) steam generator and one 5-hp (32,657 kWh/year) air blower, totaling 81,643 kWh/yr. x 1.0989 to adjust for transmission and distribution losses</t>
  </si>
  <si>
    <t>Assumes (no-energy) transfer of vapor to two fixed-bed GAC adsorbent vessels, each using a carbon adsorber regeneration system employing one 7.5-hp (48,986 kWh/yr) steam generator and one 5-hp (32,657 kWh/year) air blower, totaling 81,643 kWh/yr. x 1.0989 to adjust for transmission and distribution losses</t>
  </si>
  <si>
    <t xml:space="preserve">Assumes two 38-gal tanks used each week by one Ford F350 truck for mechanical monitoring, sampling, equip. repair, etc. </t>
  </si>
  <si>
    <t>Assumes thermal (catalytic) oxidation with 20-kW heating element (without a heat exchanger) consuming 175,200 kWh/yr and a no-energy venturi scrubber. 175,200 kWh x 1.0989 to adjust for transmission and distribution losses.</t>
  </si>
  <si>
    <t>Assumes treatment of metals through no/low-energy passive processes (precipitation, neutralization, oil/water separation, filtration), and organics through a 15-kW UV/oxidation unit (without a heat exchanger), consuming 131,400 kWh/yr. The high value based on assumption that 30% of P&amp;T systems require a 15 kW/h UV/H2O2 system operating 10% of the time for VOC destruction instead of GAC removal. No lower-bound case.</t>
  </si>
  <si>
    <t>OSRTI Analysis of Superfund Energy Consumption, Energy Costs, and CO2 Emissions: Model Version 1.0.  April 15, 2008</t>
  </si>
  <si>
    <t>This workbook includes worksheets for an OSRTI analysis of the energy use, energy cost, and CO2 emissions resulting from the implementation of remediation technologies at hazardous waste sites. Currently, a preliminary analysis has been completed for five technologies as implemented at National Priorities List (NPL) sites: Pumping and treating groundwater (pump and treat, or P&amp;T), Soil vapor extraction (SVE), multi-phase extraction (MPE), air sparging (AS), and thermal desorption (TD). There is a separate worksheet for each.</t>
  </si>
  <si>
    <t xml:space="preserve">(kWh x 1,000) </t>
  </si>
  <si>
    <t>($ x 1,000)</t>
  </si>
  <si>
    <t>Model version 1.0. April 15, 2008</t>
  </si>
  <si>
    <t>Modle Version 1.0. April 15, 2008</t>
  </si>
  <si>
    <t>Correction</t>
  </si>
  <si>
    <r>
      <t xml:space="preserve">Assumes GAC system based on estimate that 70% of Superfund sites with available SVE data use GAC, per Off-Gas Treatment Technologies for Soil Vapor Extraction Systems: </t>
    </r>
    <r>
      <rPr>
        <i/>
        <sz val="10"/>
        <color indexed="48"/>
        <rFont val="Arial"/>
        <family val="2"/>
      </rPr>
      <t>State of the Practice</t>
    </r>
    <r>
      <rPr>
        <sz val="10"/>
        <color indexed="48"/>
        <rFont val="Arial"/>
        <family val="0"/>
      </rPr>
      <t xml:space="preserve">, March 2006. </t>
    </r>
  </si>
  <si>
    <t>Worksheet 8: Key Inputs: Thermal Desroption</t>
  </si>
  <si>
    <t>Thermal Desorption-Specific Inputs</t>
  </si>
  <si>
    <t xml:space="preserve"> Assumes use of 40M-BTU (11,712 kWh) dryer consuming 102,597,120 kWh/year.</t>
  </si>
  <si>
    <t>[d] These figurs assume that one system operates continually for 23 years, although the average system duration is 4 months. Thus, the arithmetic for this cell is slightly different than that used for other technologies because project duration is less than one year.</t>
  </si>
  <si>
    <t>and CO2 Emissions 2008-2030: Per Unit</t>
  </si>
  <si>
    <t>and CO2 Emissions 2008-2030: National Total All Units</t>
  </si>
  <si>
    <t>Summary: Five Remediation Technologies</t>
  </si>
  <si>
    <t xml:space="preserve">[1] To facilitate analysis, this draft assumes all electricity for treatment systems are supplied by public utility.   </t>
  </si>
  <si>
    <t>[4] Electricity costs are based on the U.S. DOE Energy Information Administration's November 2007 all-sector rate of $0.0914/kWh, as if December 2007. All costs are expressed in 2007 dollars. When used for budgeting purposes, forecasted inflation rates may be added to these estimates.</t>
  </si>
  <si>
    <t>EIA 2005, Electric Power Annual 2005. Table 5.1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</si>
</sst>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00"/>
    <numFmt numFmtId="172" formatCode="#,##0.000000000000"/>
    <numFmt numFmtId="173" formatCode="#,##0.0000"/>
    <numFmt numFmtId="174" formatCode="0.000"/>
    <numFmt numFmtId="175" formatCode="#,##0.000"/>
  </numFmts>
  <fonts count="99">
    <font>
      <sz val="10"/>
      <name val="Arial"/>
      <family val="0"/>
    </font>
    <font>
      <sz val="11"/>
      <color indexed="8"/>
      <name val="Calibri"/>
      <family val="2"/>
    </font>
    <font>
      <b/>
      <sz val="10"/>
      <name val="Arial"/>
      <family val="2"/>
    </font>
    <font>
      <sz val="8"/>
      <name val="Arial"/>
      <family val="2"/>
    </font>
    <font>
      <i/>
      <sz val="10"/>
      <name val="Arial"/>
      <family val="2"/>
    </font>
    <font>
      <sz val="10"/>
      <color indexed="12"/>
      <name val="Arial"/>
      <family val="2"/>
    </font>
    <font>
      <b/>
      <sz val="10"/>
      <color indexed="20"/>
      <name val="Arial"/>
      <family val="2"/>
    </font>
    <font>
      <sz val="10"/>
      <color indexed="20"/>
      <name val="Arial"/>
      <family val="2"/>
    </font>
    <font>
      <sz val="10"/>
      <color indexed="18"/>
      <name val="Arial"/>
      <family val="2"/>
    </font>
    <font>
      <b/>
      <sz val="14"/>
      <name val="Arial"/>
      <family val="2"/>
    </font>
    <font>
      <u val="single"/>
      <sz val="10"/>
      <name val="Arial"/>
      <family val="2"/>
    </font>
    <font>
      <b/>
      <sz val="12"/>
      <name val="Arial"/>
      <family val="2"/>
    </font>
    <font>
      <sz val="14"/>
      <name val="Arial"/>
      <family val="2"/>
    </font>
    <font>
      <i/>
      <sz val="10"/>
      <color indexed="18"/>
      <name val="Arial"/>
      <family val="2"/>
    </font>
    <font>
      <b/>
      <i/>
      <sz val="12"/>
      <color indexed="18"/>
      <name val="Arial"/>
      <family val="2"/>
    </font>
    <font>
      <b/>
      <i/>
      <sz val="12"/>
      <color indexed="20"/>
      <name val="Arial"/>
      <family val="2"/>
    </font>
    <font>
      <b/>
      <i/>
      <sz val="12"/>
      <name val="Arial"/>
      <family val="2"/>
    </font>
    <font>
      <i/>
      <sz val="12"/>
      <color indexed="20"/>
      <name val="Arial"/>
      <family val="2"/>
    </font>
    <font>
      <sz val="10"/>
      <name val="Verdana"/>
      <family val="2"/>
    </font>
    <font>
      <i/>
      <sz val="10"/>
      <name val="Verdana"/>
      <family val="2"/>
    </font>
    <font>
      <b/>
      <i/>
      <sz val="10"/>
      <color indexed="20"/>
      <name val="Arial"/>
      <family val="2"/>
    </font>
    <font>
      <strike/>
      <sz val="10"/>
      <color indexed="20"/>
      <name val="Arial"/>
      <family val="2"/>
    </font>
    <font>
      <b/>
      <strike/>
      <sz val="10"/>
      <color indexed="20"/>
      <name val="Arial"/>
      <family val="2"/>
    </font>
    <font>
      <sz val="9"/>
      <name val="Arial"/>
      <family val="2"/>
    </font>
    <font>
      <b/>
      <sz val="9"/>
      <color indexed="18"/>
      <name val="Arial"/>
      <family val="2"/>
    </font>
    <font>
      <b/>
      <sz val="9"/>
      <color indexed="20"/>
      <name val="Arial"/>
      <family val="2"/>
    </font>
    <font>
      <sz val="9"/>
      <color indexed="18"/>
      <name val="Arial"/>
      <family val="2"/>
    </font>
    <font>
      <sz val="9"/>
      <color indexed="20"/>
      <name val="Arial"/>
      <family val="2"/>
    </font>
    <font>
      <b/>
      <sz val="9"/>
      <name val="Arial"/>
      <family val="2"/>
    </font>
    <font>
      <sz val="9"/>
      <name val="Verdana"/>
      <family val="2"/>
    </font>
    <font>
      <b/>
      <sz val="9"/>
      <color indexed="48"/>
      <name val="Verdana"/>
      <family val="2"/>
    </font>
    <font>
      <sz val="9"/>
      <color indexed="48"/>
      <name val="Arial"/>
      <family val="2"/>
    </font>
    <font>
      <b/>
      <sz val="9"/>
      <color indexed="48"/>
      <name val="Arial"/>
      <family val="2"/>
    </font>
    <font>
      <sz val="9"/>
      <color indexed="48"/>
      <name val="Verdana"/>
      <family val="2"/>
    </font>
    <font>
      <b/>
      <sz val="11"/>
      <name val="Arial"/>
      <family val="2"/>
    </font>
    <font>
      <b/>
      <i/>
      <sz val="9"/>
      <name val="Arial"/>
      <family val="2"/>
    </font>
    <font>
      <i/>
      <sz val="9"/>
      <name val="Arial"/>
      <family val="2"/>
    </font>
    <font>
      <i/>
      <u val="single"/>
      <sz val="9"/>
      <name val="Arial"/>
      <family val="2"/>
    </font>
    <font>
      <b/>
      <i/>
      <sz val="10"/>
      <color indexed="18"/>
      <name val="Arial"/>
      <family val="2"/>
    </font>
    <font>
      <b/>
      <i/>
      <sz val="9"/>
      <color indexed="18"/>
      <name val="Arial"/>
      <family val="2"/>
    </font>
    <font>
      <i/>
      <sz val="9"/>
      <color indexed="18"/>
      <name val="Arial"/>
      <family val="2"/>
    </font>
    <font>
      <i/>
      <u val="single"/>
      <sz val="9"/>
      <color indexed="18"/>
      <name val="Arial"/>
      <family val="2"/>
    </font>
    <font>
      <b/>
      <strike/>
      <sz val="9"/>
      <color indexed="20"/>
      <name val="Arial"/>
      <family val="2"/>
    </font>
    <font>
      <strike/>
      <sz val="9"/>
      <color indexed="20"/>
      <name val="Arial"/>
      <family val="2"/>
    </font>
    <font>
      <i/>
      <u val="single"/>
      <sz val="9"/>
      <color indexed="20"/>
      <name val="Arial"/>
      <family val="2"/>
    </font>
    <font>
      <i/>
      <sz val="9"/>
      <color indexed="20"/>
      <name val="Arial"/>
      <family val="2"/>
    </font>
    <font>
      <sz val="11"/>
      <name val="Arial"/>
      <family val="2"/>
    </font>
    <font>
      <b/>
      <i/>
      <sz val="10"/>
      <color indexed="58"/>
      <name val="Arial"/>
      <family val="2"/>
    </font>
    <font>
      <sz val="10"/>
      <color indexed="58"/>
      <name val="Arial"/>
      <family val="2"/>
    </font>
    <font>
      <b/>
      <sz val="9"/>
      <color indexed="58"/>
      <name val="Arial"/>
      <family val="2"/>
    </font>
    <font>
      <sz val="9"/>
      <color indexed="58"/>
      <name val="Arial"/>
      <family val="2"/>
    </font>
    <font>
      <b/>
      <sz val="10"/>
      <color indexed="58"/>
      <name val="Arial"/>
      <family val="2"/>
    </font>
    <font>
      <b/>
      <sz val="16"/>
      <name val="Arial"/>
      <family val="2"/>
    </font>
    <font>
      <sz val="16"/>
      <name val="Arial"/>
      <family val="2"/>
    </font>
    <font>
      <b/>
      <sz val="9"/>
      <color indexed="56"/>
      <name val="Arial"/>
      <family val="2"/>
    </font>
    <font>
      <b/>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Calibri"/>
      <family val="2"/>
    </font>
    <font>
      <u val="single"/>
      <sz val="10"/>
      <color indexed="12"/>
      <name val="Arial"/>
      <family val="0"/>
    </font>
    <font>
      <u val="single"/>
      <sz val="10"/>
      <color indexed="36"/>
      <name val="Arial"/>
      <family val="0"/>
    </font>
    <font>
      <sz val="9"/>
      <color indexed="12"/>
      <name val="Arial"/>
      <family val="2"/>
    </font>
    <font>
      <b/>
      <sz val="10"/>
      <color indexed="20"/>
      <name val="Verdana"/>
      <family val="2"/>
    </font>
    <font>
      <b/>
      <sz val="9"/>
      <color indexed="20"/>
      <name val="Verdana"/>
      <family val="2"/>
    </font>
    <font>
      <sz val="9"/>
      <color indexed="20"/>
      <name val="Verdana"/>
      <family val="2"/>
    </font>
    <font>
      <sz val="10"/>
      <color indexed="20"/>
      <name val="Verdana"/>
      <family val="2"/>
    </font>
    <font>
      <b/>
      <sz val="8"/>
      <color indexed="20"/>
      <name val="Arial"/>
      <family val="2"/>
    </font>
    <font>
      <sz val="8"/>
      <color indexed="20"/>
      <name val="Arial"/>
      <family val="2"/>
    </font>
    <font>
      <b/>
      <sz val="10"/>
      <color indexed="48"/>
      <name val="Verdana"/>
      <family val="2"/>
    </font>
    <font>
      <sz val="10"/>
      <color indexed="48"/>
      <name val="Arial"/>
      <family val="2"/>
    </font>
    <font>
      <b/>
      <sz val="10"/>
      <color indexed="48"/>
      <name val="Arial"/>
      <family val="2"/>
    </font>
    <font>
      <sz val="12"/>
      <name val="Arial"/>
      <family val="0"/>
    </font>
    <font>
      <strike/>
      <sz val="10"/>
      <color indexed="18"/>
      <name val="Arial"/>
      <family val="0"/>
    </font>
    <font>
      <b/>
      <sz val="12"/>
      <color indexed="48"/>
      <name val="Verdana"/>
      <family val="2"/>
    </font>
    <font>
      <sz val="10"/>
      <color indexed="48"/>
      <name val="Verdana"/>
      <family val="2"/>
    </font>
    <font>
      <i/>
      <u val="single"/>
      <sz val="10"/>
      <color indexed="18"/>
      <name val="Arial"/>
      <family val="2"/>
    </font>
    <font>
      <i/>
      <u val="single"/>
      <sz val="9"/>
      <color indexed="58"/>
      <name val="Arial"/>
      <family val="2"/>
    </font>
    <font>
      <sz val="9.5"/>
      <name val="Arial"/>
      <family val="2"/>
    </font>
    <font>
      <b/>
      <sz val="9.5"/>
      <color indexed="58"/>
      <name val="Arial"/>
      <family val="2"/>
    </font>
    <font>
      <i/>
      <sz val="10"/>
      <color indexed="48"/>
      <name val="Arial"/>
      <family val="2"/>
    </font>
    <font>
      <sz val="9"/>
      <color indexed="61"/>
      <name val="Arial"/>
      <family val="0"/>
    </font>
    <font>
      <sz val="10"/>
      <color indexed="61"/>
      <name val="Arial"/>
      <family val="0"/>
    </font>
    <font>
      <sz val="10"/>
      <color indexed="12"/>
      <name val="Verdana"/>
      <family val="2"/>
    </font>
    <font>
      <i/>
      <sz val="12"/>
      <name val="Arial"/>
      <family val="2"/>
    </font>
    <font>
      <i/>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double"/>
      <bottom/>
    </border>
    <border>
      <left/>
      <right style="double"/>
      <top/>
      <bottom/>
    </border>
    <border>
      <left style="double"/>
      <right/>
      <top/>
      <bottom/>
    </border>
    <border>
      <left style="double"/>
      <right/>
      <top/>
      <bottom style="medium"/>
    </border>
    <border>
      <left/>
      <right/>
      <top/>
      <bottom style="medium"/>
    </border>
    <border>
      <left/>
      <right style="double"/>
      <top style="double"/>
      <bottom/>
    </border>
    <border>
      <left/>
      <right style="double"/>
      <top/>
      <bottom style="medium"/>
    </border>
    <border>
      <left style="double"/>
      <right/>
      <top/>
      <bottom style="double"/>
    </border>
    <border>
      <left/>
      <right/>
      <top/>
      <bottom style="double"/>
    </border>
    <border>
      <left/>
      <right style="double"/>
      <top/>
      <bottom style="double"/>
    </border>
    <border>
      <left style="double"/>
      <right/>
      <top style="medium"/>
      <bottom/>
    </border>
    <border>
      <left/>
      <right/>
      <top style="medium"/>
      <bottom/>
    </border>
    <border>
      <left/>
      <right style="double"/>
      <top style="medium"/>
      <bottom/>
    </border>
    <border>
      <left style="double"/>
      <right/>
      <top style="double"/>
      <bottom/>
    </border>
    <border>
      <left style="thin"/>
      <right style="thin"/>
      <top>
        <color indexed="63"/>
      </top>
      <bottom style="medium"/>
    </border>
    <border>
      <left style="thin"/>
      <right style="thin"/>
      <top style="thick"/>
      <bottom>
        <color indexed="63"/>
      </bottom>
    </border>
    <border>
      <left style="thick"/>
      <right style="thin"/>
      <top>
        <color indexed="63"/>
      </top>
      <bottom style="thin"/>
    </border>
    <border>
      <left style="thick"/>
      <right style="thin"/>
      <top style="thin"/>
      <bottom style="thin"/>
    </border>
    <border>
      <left style="medium"/>
      <right/>
      <top style="medium"/>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top/>
      <bottom/>
    </border>
    <border>
      <left>
        <color indexed="63"/>
      </left>
      <right>
        <color indexed="63"/>
      </right>
      <top>
        <color indexed="63"/>
      </top>
      <bottom style="medium"/>
    </border>
    <border>
      <left style="medium"/>
      <right/>
      <top style="medium"/>
      <bottom>
        <color indexed="63"/>
      </bottom>
    </border>
    <border>
      <left/>
      <right/>
      <top style="medium"/>
      <bottom>
        <color indexed="63"/>
      </bottom>
    </border>
    <border>
      <left style="medium"/>
      <right/>
      <top>
        <color indexed="63"/>
      </top>
      <bottom/>
    </border>
    <border>
      <left style="medium"/>
      <right/>
      <top/>
      <bottom style="medium"/>
    </border>
    <border>
      <left>
        <color indexed="63"/>
      </left>
      <right style="medium"/>
      <top>
        <color indexed="63"/>
      </top>
      <bottom style="medium"/>
    </border>
    <border>
      <left/>
      <right>
        <color indexed="63"/>
      </right>
      <top style="medium"/>
      <bottom/>
    </border>
    <border>
      <left/>
      <right>
        <color indexed="63"/>
      </right>
      <top/>
      <bottom style="medium"/>
    </border>
    <border>
      <left style="thick"/>
      <right style="thin"/>
      <top style="thick"/>
      <bottom style="thin"/>
    </border>
    <border>
      <left/>
      <right>
        <color indexed="63"/>
      </right>
      <top style="medium"/>
      <bottom>
        <color indexed="63"/>
      </bottom>
    </border>
    <border>
      <left style="medium"/>
      <right>
        <color indexed="63"/>
      </right>
      <top>
        <color indexed="63"/>
      </top>
      <bottom>
        <color indexed="63"/>
      </bottom>
    </border>
    <border>
      <left>
        <color indexed="63"/>
      </left>
      <right>
        <color indexed="63"/>
      </right>
      <top style="thin"/>
      <bottom style="double"/>
    </border>
    <border>
      <left>
        <color indexed="63"/>
      </left>
      <right style="double"/>
      <top style="thin"/>
      <bottom style="double"/>
    </border>
    <border>
      <left style="thin"/>
      <right style="thin"/>
      <top style="medium"/>
      <bottom style="thin"/>
    </border>
    <border>
      <left style="thin"/>
      <right style="thin"/>
      <top style="thin"/>
      <bottom style="thin"/>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thin"/>
      <top>
        <color indexed="63"/>
      </top>
      <bottom>
        <color indexed="63"/>
      </bottom>
    </border>
    <border>
      <left style="medium"/>
      <right>
        <color indexed="63"/>
      </right>
      <top/>
      <bottom/>
    </border>
    <border>
      <left style="medium"/>
      <right>
        <color indexed="63"/>
      </right>
      <top style="medium"/>
      <bottom/>
    </border>
    <border>
      <left>
        <color indexed="63"/>
      </left>
      <right>
        <color indexed="63"/>
      </right>
      <top style="medium"/>
      <bottom/>
    </border>
    <border>
      <left style="thin"/>
      <right style="thin"/>
      <top>
        <color indexed="63"/>
      </top>
      <bottom style="thin"/>
    </border>
    <border>
      <left style="thick"/>
      <right style="thin"/>
      <top>
        <color indexed="63"/>
      </top>
      <bottom style="medium"/>
    </border>
    <border>
      <left style="thick"/>
      <right>
        <color indexed="63"/>
      </right>
      <top style="thin"/>
      <bottom style="thin"/>
    </border>
    <border>
      <left style="thick"/>
      <right style="thin"/>
      <top style="thin"/>
      <bottom>
        <color indexed="63"/>
      </bottom>
    </border>
    <border>
      <left style="thin"/>
      <right style="thin"/>
      <top style="thin"/>
      <bottom style="thick"/>
    </border>
    <border>
      <left style="double"/>
      <right>
        <color indexed="63"/>
      </right>
      <top style="thin"/>
      <bottom style="double"/>
    </border>
    <border>
      <left style="thin"/>
      <right style="thin"/>
      <top style="thin"/>
      <bottom style="double"/>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ck"/>
      <right style="thin"/>
      <top style="thin"/>
      <bottom style="thick"/>
    </border>
    <border>
      <left style="thin"/>
      <right>
        <color indexed="63"/>
      </right>
      <top style="thin"/>
      <bottom style="thin"/>
    </border>
    <border>
      <left style="thin"/>
      <right>
        <color indexed="63"/>
      </right>
      <top style="thin"/>
      <bottom style="thick"/>
    </border>
    <border>
      <left style="medium"/>
      <right style="thin"/>
      <top>
        <color indexed="63"/>
      </top>
      <bottom style="medium"/>
    </border>
    <border>
      <left>
        <color indexed="63"/>
      </left>
      <right style="thin"/>
      <top style="medium"/>
      <bottom>
        <color indexed="63"/>
      </bottom>
    </border>
    <border>
      <left style="medium"/>
      <right/>
      <top/>
      <bottom>
        <color indexed="63"/>
      </bottom>
    </border>
    <border>
      <left style="thick"/>
      <right>
        <color indexed="63"/>
      </right>
      <top style="thick"/>
      <bottom>
        <color indexed="63"/>
      </bottom>
    </border>
    <border>
      <left style="thick"/>
      <right>
        <color indexed="63"/>
      </right>
      <top style="thick"/>
      <bottom/>
    </border>
    <border>
      <left style="thick"/>
      <right>
        <color indexed="63"/>
      </right>
      <top/>
      <bottom/>
    </border>
    <border>
      <left>
        <color indexed="63"/>
      </left>
      <right style="thick"/>
      <top>
        <color indexed="63"/>
      </top>
      <bottom>
        <color indexed="63"/>
      </bottom>
    </border>
    <border>
      <left style="thick"/>
      <right>
        <color indexed="63"/>
      </right>
      <top/>
      <bottom style="medium"/>
    </border>
    <border>
      <left style="thin"/>
      <right>
        <color indexed="63"/>
      </right>
      <top>
        <color indexed="63"/>
      </top>
      <bottom style="medium"/>
    </border>
    <border>
      <left>
        <color indexed="63"/>
      </left>
      <right style="thin"/>
      <top>
        <color indexed="63"/>
      </top>
      <bottom style="medium"/>
    </border>
    <border>
      <left style="thick"/>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top>
        <color indexed="63"/>
      </top>
      <bottom style="thin"/>
    </border>
    <border>
      <left/>
      <right>
        <color indexed="63"/>
      </right>
      <top>
        <color indexed="63"/>
      </top>
      <bottom style="thin"/>
    </border>
    <border>
      <left style="thin"/>
      <right/>
      <top>
        <color indexed="63"/>
      </top>
      <bottom style="thin"/>
    </border>
    <border>
      <left/>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ck"/>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ck"/>
      <right>
        <color indexed="63"/>
      </right>
      <top style="thin"/>
      <bottom style="thick"/>
    </border>
    <border>
      <left>
        <color indexed="63"/>
      </left>
      <right style="thin"/>
      <top style="thin"/>
      <bottom style="thick"/>
    </border>
    <border>
      <left style="thick"/>
      <right>
        <color indexed="63"/>
      </right>
      <top>
        <color indexed="63"/>
      </top>
      <bottom/>
    </border>
    <border>
      <left style="thick"/>
      <right>
        <color indexed="63"/>
      </right>
      <top/>
      <bottom>
        <color indexed="63"/>
      </bottom>
    </border>
    <border>
      <left style="thick"/>
      <right>
        <color indexed="63"/>
      </right>
      <top>
        <color indexed="63"/>
      </top>
      <bottom style="medium"/>
    </border>
    <border>
      <left style="thick"/>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thin"/>
      <bottom style="thin"/>
    </border>
    <border>
      <left style="thin"/>
      <right style="thin"/>
      <top style="thin"/>
      <bottom>
        <color indexed="63"/>
      </bottom>
    </border>
    <border>
      <left style="thick"/>
      <right>
        <color indexed="63"/>
      </right>
      <top>
        <color indexed="63"/>
      </top>
      <bottom>
        <color indexed="63"/>
      </bottom>
    </border>
    <border>
      <left style="thin"/>
      <right style="thin"/>
      <top>
        <color indexed="63"/>
      </top>
      <bottom>
        <color indexed="63"/>
      </bottom>
    </border>
    <border>
      <left style="medium"/>
      <right style="thin"/>
      <top style="thin"/>
      <bottom style="thick"/>
    </border>
    <border>
      <left style="medium"/>
      <right style="thin"/>
      <top style="thin"/>
      <bottom>
        <color indexed="63"/>
      </bottom>
    </border>
    <border>
      <left>
        <color indexed="63"/>
      </left>
      <right style="thick"/>
      <top style="medium"/>
      <bottom style="thin"/>
    </border>
    <border>
      <left>
        <color indexed="63"/>
      </left>
      <right style="thick"/>
      <top style="thin"/>
      <bottom style="thin"/>
    </border>
    <border>
      <left>
        <color indexed="63"/>
      </left>
      <right style="thick"/>
      <top style="thin"/>
      <bottom style="thick"/>
    </border>
    <border>
      <left>
        <color indexed="63"/>
      </left>
      <right style="thick"/>
      <top>
        <color indexed="63"/>
      </top>
      <bottom style="thin"/>
    </border>
    <border>
      <left>
        <color indexed="63"/>
      </left>
      <right style="thick"/>
      <top style="thin"/>
      <bottom>
        <color indexed="63"/>
      </bottom>
    </border>
    <border>
      <left style="thin"/>
      <right style="double"/>
      <top style="thin"/>
      <bottom style="thin"/>
    </border>
    <border>
      <left style="double"/>
      <right style="thin"/>
      <top style="thin"/>
      <bottom style="thin"/>
    </border>
    <border>
      <left>
        <color indexed="63"/>
      </left>
      <right style="double"/>
      <top style="thin"/>
      <bottom style="thin"/>
    </border>
    <border>
      <left style="thin"/>
      <right style="double"/>
      <top style="thin"/>
      <bottom style="double"/>
    </border>
    <border>
      <left style="thin"/>
      <right>
        <color indexed="63"/>
      </right>
      <top style="thick"/>
      <bottom>
        <color indexed="63"/>
      </bottom>
    </border>
    <border>
      <left>
        <color indexed="63"/>
      </left>
      <right style="thin"/>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double"/>
      <top style="medium"/>
      <bottom style="thin"/>
    </border>
    <border>
      <left style="double"/>
      <right style="thin"/>
      <top style="medium"/>
      <bottom style="thin"/>
    </border>
    <border>
      <left style="double"/>
      <right>
        <color indexed="63"/>
      </right>
      <top style="thin"/>
      <bottom style="thin"/>
    </border>
    <border>
      <left>
        <color indexed="63"/>
      </left>
      <right>
        <color indexed="63"/>
      </right>
      <top>
        <color indexed="63"/>
      </top>
      <bottom style="thick"/>
    </border>
    <border>
      <left style="double"/>
      <right>
        <color indexed="63"/>
      </right>
      <top/>
      <bottom>
        <color indexed="63"/>
      </bottom>
    </border>
    <border>
      <left style="double"/>
      <right>
        <color indexed="63"/>
      </right>
      <top>
        <color indexed="63"/>
      </top>
      <bottom>
        <color indexed="63"/>
      </bottom>
    </border>
    <border>
      <left style="thin"/>
      <right style="thick"/>
      <top style="thin"/>
      <bottom style="thin"/>
    </border>
    <border>
      <left style="thin"/>
      <right style="thick"/>
      <top>
        <color indexed="63"/>
      </top>
      <bottom style="thin"/>
    </border>
    <border>
      <left>
        <color indexed="63"/>
      </left>
      <right>
        <color indexed="63"/>
      </right>
      <top style="thin"/>
      <bottom style="thick"/>
    </border>
    <border>
      <left>
        <color indexed="63"/>
      </left>
      <right style="thick"/>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thin"/>
      <right style="medium"/>
      <top style="thin"/>
      <bottom style="thick"/>
    </border>
    <border>
      <left style="thin"/>
      <right style="thin"/>
      <top style="thick"/>
      <bottom style="thin"/>
    </border>
    <border>
      <left style="thin"/>
      <right style="thick"/>
      <top style="thick"/>
      <bottom style="thin"/>
    </border>
    <border>
      <left style="thin"/>
      <right style="thick"/>
      <top style="thin"/>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1" fillId="12"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9" borderId="0" applyNumberFormat="0" applyBorder="0" applyAlignment="0" applyProtection="0"/>
    <xf numFmtId="0" fontId="61" fillId="3" borderId="0" applyNumberFormat="0" applyBorder="0" applyAlignment="0" applyProtection="0"/>
    <xf numFmtId="0" fontId="65" fillId="20" borderId="1" applyNumberFormat="0" applyAlignment="0" applyProtection="0"/>
    <xf numFmtId="0" fontId="6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4" fillId="0" borderId="0" applyNumberFormat="0" applyFill="0" applyBorder="0" applyAlignment="0" applyProtection="0"/>
    <xf numFmtId="0" fontId="60" fillId="4"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3" fillId="0" borderId="0" applyNumberFormat="0" applyFill="0" applyBorder="0" applyAlignment="0" applyProtection="0"/>
    <xf numFmtId="0" fontId="63" fillId="7" borderId="1" applyNumberFormat="0" applyAlignment="0" applyProtection="0"/>
    <xf numFmtId="0" fontId="66" fillId="0" borderId="6" applyNumberFormat="0" applyFill="0" applyAlignment="0" applyProtection="0"/>
    <xf numFmtId="0" fontId="62" fillId="22" borderId="0" applyNumberFormat="0" applyBorder="0" applyAlignment="0" applyProtection="0"/>
    <xf numFmtId="0" fontId="0" fillId="23" borderId="7" applyNumberFormat="0" applyFont="0" applyAlignment="0" applyProtection="0"/>
    <xf numFmtId="0" fontId="64" fillId="20"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70" fillId="0" borderId="9" applyNumberFormat="0" applyFill="0" applyAlignment="0" applyProtection="0"/>
    <xf numFmtId="0" fontId="68" fillId="0" borderId="0" applyNumberFormat="0" applyFill="0" applyBorder="0" applyAlignment="0" applyProtection="0"/>
  </cellStyleXfs>
  <cellXfs count="962">
    <xf numFmtId="0" fontId="0" fillId="0" borderId="0" xfId="0" applyAlignment="1">
      <alignment/>
    </xf>
    <xf numFmtId="0" fontId="2" fillId="0" borderId="0" xfId="0" applyFont="1" applyAlignment="1">
      <alignment/>
    </xf>
    <xf numFmtId="0" fontId="7" fillId="0" borderId="0" xfId="0" applyFont="1" applyAlignment="1">
      <alignment/>
    </xf>
    <xf numFmtId="0" fontId="9" fillId="0" borderId="0" xfId="0" applyFont="1" applyAlignment="1">
      <alignment/>
    </xf>
    <xf numFmtId="0" fontId="0" fillId="0" borderId="0" xfId="0" applyAlignment="1">
      <alignment wrapText="1"/>
    </xf>
    <xf numFmtId="0" fontId="0" fillId="0" borderId="0" xfId="0" applyAlignment="1">
      <alignment/>
    </xf>
    <xf numFmtId="1" fontId="0" fillId="0" borderId="0" xfId="0" applyNumberFormat="1" applyAlignment="1">
      <alignment/>
    </xf>
    <xf numFmtId="1" fontId="2" fillId="0" borderId="0" xfId="0" applyNumberFormat="1" applyFont="1" applyAlignment="1">
      <alignment/>
    </xf>
    <xf numFmtId="0" fontId="10" fillId="0" borderId="0" xfId="0" applyFont="1" applyAlignment="1">
      <alignment/>
    </xf>
    <xf numFmtId="0" fontId="11" fillId="0" borderId="0" xfId="0" applyFont="1" applyAlignment="1">
      <alignment/>
    </xf>
    <xf numFmtId="0" fontId="7" fillId="0" borderId="0" xfId="0" applyFont="1" applyAlignment="1">
      <alignment/>
    </xf>
    <xf numFmtId="1" fontId="7" fillId="0" borderId="0" xfId="0" applyNumberFormat="1" applyFont="1" applyAlignment="1">
      <alignment/>
    </xf>
    <xf numFmtId="0" fontId="12" fillId="0" borderId="0" xfId="0" applyFont="1" applyAlignment="1">
      <alignment/>
    </xf>
    <xf numFmtId="0" fontId="9" fillId="0" borderId="0" xfId="0" applyFont="1" applyAlignment="1">
      <alignment wrapText="1"/>
    </xf>
    <xf numFmtId="0" fontId="18" fillId="0" borderId="0" xfId="0" applyFont="1" applyAlignment="1">
      <alignment wrapText="1"/>
    </xf>
    <xf numFmtId="0" fontId="16" fillId="0" borderId="0" xfId="0" applyFont="1" applyAlignment="1">
      <alignment wrapText="1"/>
    </xf>
    <xf numFmtId="0" fontId="19" fillId="0" borderId="0" xfId="0" applyFont="1" applyAlignment="1">
      <alignment wrapText="1"/>
    </xf>
    <xf numFmtId="0" fontId="11" fillId="0" borderId="0" xfId="0" applyFont="1" applyAlignment="1">
      <alignment wrapText="1"/>
    </xf>
    <xf numFmtId="0" fontId="18" fillId="0" borderId="0" xfId="0" applyFont="1" applyAlignment="1">
      <alignment/>
    </xf>
    <xf numFmtId="0" fontId="8" fillId="0" borderId="0" xfId="0" applyFont="1" applyBorder="1" applyAlignment="1">
      <alignment/>
    </xf>
    <xf numFmtId="0" fontId="0" fillId="0" borderId="0" xfId="0" applyBorder="1" applyAlignment="1">
      <alignment/>
    </xf>
    <xf numFmtId="0" fontId="0" fillId="0" borderId="0" xfId="0" applyFill="1" applyAlignment="1">
      <alignment/>
    </xf>
    <xf numFmtId="0" fontId="7" fillId="0" borderId="0" xfId="0" applyFont="1" applyFill="1" applyAlignment="1">
      <alignment/>
    </xf>
    <xf numFmtId="0" fontId="0" fillId="0" borderId="0" xfId="0" applyFill="1" applyAlignment="1">
      <alignment wrapText="1"/>
    </xf>
    <xf numFmtId="0" fontId="8" fillId="0" borderId="0" xfId="0" applyFont="1" applyFill="1" applyBorder="1" applyAlignment="1">
      <alignment/>
    </xf>
    <xf numFmtId="1" fontId="8" fillId="0" borderId="0" xfId="0" applyNumberFormat="1" applyFont="1" applyFill="1" applyAlignment="1">
      <alignment/>
    </xf>
    <xf numFmtId="0" fontId="8" fillId="0" borderId="0" xfId="0" applyFont="1" applyFill="1" applyAlignment="1">
      <alignment/>
    </xf>
    <xf numFmtId="1" fontId="8" fillId="0" borderId="0" xfId="0" applyNumberFormat="1" applyFont="1" applyFill="1" applyBorder="1" applyAlignment="1">
      <alignment/>
    </xf>
    <xf numFmtId="0" fontId="7" fillId="0" borderId="0" xfId="0" applyFont="1" applyFill="1" applyBorder="1" applyAlignment="1">
      <alignment/>
    </xf>
    <xf numFmtId="0" fontId="0" fillId="0" borderId="0" xfId="0" applyFill="1" applyBorder="1" applyAlignment="1">
      <alignment/>
    </xf>
    <xf numFmtId="0" fontId="23" fillId="0" borderId="0" xfId="0" applyFont="1" applyAlignment="1">
      <alignment/>
    </xf>
    <xf numFmtId="0" fontId="26" fillId="0" borderId="0" xfId="0" applyFont="1" applyAlignment="1">
      <alignment/>
    </xf>
    <xf numFmtId="0" fontId="27" fillId="0" borderId="0" xfId="0" applyFont="1" applyAlignment="1">
      <alignment/>
    </xf>
    <xf numFmtId="0" fontId="23" fillId="0" borderId="0" xfId="0" applyFont="1" applyAlignment="1">
      <alignment/>
    </xf>
    <xf numFmtId="0" fontId="29" fillId="0" borderId="0" xfId="0" applyFont="1" applyAlignment="1">
      <alignment/>
    </xf>
    <xf numFmtId="0" fontId="31" fillId="0" borderId="10" xfId="0" applyFont="1" applyBorder="1" applyAlignment="1">
      <alignment wrapText="1"/>
    </xf>
    <xf numFmtId="0" fontId="0" fillId="0" borderId="0" xfId="0" applyFont="1" applyAlignment="1">
      <alignment wrapText="1"/>
    </xf>
    <xf numFmtId="0" fontId="26" fillId="0" borderId="0" xfId="0" applyFont="1" applyAlignment="1">
      <alignment horizontal="right" indent="5"/>
    </xf>
    <xf numFmtId="0" fontId="34" fillId="0" borderId="0" xfId="0" applyFont="1" applyAlignment="1">
      <alignment/>
    </xf>
    <xf numFmtId="0" fontId="37" fillId="0" borderId="0" xfId="0" applyFont="1" applyAlignment="1">
      <alignment/>
    </xf>
    <xf numFmtId="0" fontId="40" fillId="0" borderId="0" xfId="0" applyFont="1" applyBorder="1" applyAlignment="1">
      <alignment/>
    </xf>
    <xf numFmtId="0" fontId="24" fillId="0" borderId="0" xfId="0" applyFont="1" applyBorder="1" applyAlignment="1">
      <alignment horizontal="center" wrapText="1"/>
    </xf>
    <xf numFmtId="0" fontId="26" fillId="0" borderId="0" xfId="0" applyFont="1" applyBorder="1" applyAlignment="1">
      <alignment/>
    </xf>
    <xf numFmtId="1" fontId="26" fillId="0" borderId="0" xfId="0" applyNumberFormat="1" applyFont="1" applyBorder="1" applyAlignment="1">
      <alignment wrapText="1"/>
    </xf>
    <xf numFmtId="0" fontId="26" fillId="0" borderId="0" xfId="0" applyFont="1" applyBorder="1" applyAlignment="1">
      <alignment wrapText="1"/>
    </xf>
    <xf numFmtId="0" fontId="26" fillId="0" borderId="0" xfId="0" applyFont="1" applyBorder="1" applyAlignment="1">
      <alignment/>
    </xf>
    <xf numFmtId="0" fontId="26" fillId="0" borderId="0" xfId="0" applyFont="1" applyFill="1" applyAlignment="1">
      <alignment wrapText="1"/>
    </xf>
    <xf numFmtId="0" fontId="26" fillId="0" borderId="0" xfId="0" applyFont="1" applyFill="1" applyBorder="1" applyAlignment="1">
      <alignment/>
    </xf>
    <xf numFmtId="0" fontId="26" fillId="0" borderId="0" xfId="0" applyFont="1" applyFill="1" applyBorder="1" applyAlignment="1">
      <alignment wrapText="1"/>
    </xf>
    <xf numFmtId="0" fontId="25" fillId="0" borderId="0" xfId="0" applyFont="1" applyBorder="1" applyAlignment="1">
      <alignment horizontal="center"/>
    </xf>
    <xf numFmtId="0" fontId="27" fillId="0" borderId="0" xfId="0" applyFont="1" applyBorder="1" applyAlignment="1">
      <alignment/>
    </xf>
    <xf numFmtId="0" fontId="27" fillId="0" borderId="0" xfId="0" applyFont="1" applyFill="1" applyAlignment="1">
      <alignment/>
    </xf>
    <xf numFmtId="1" fontId="26" fillId="0" borderId="0" xfId="0" applyNumberFormat="1" applyFont="1" applyFill="1" applyBorder="1" applyAlignment="1">
      <alignment horizontal="center"/>
    </xf>
    <xf numFmtId="1" fontId="26" fillId="0" borderId="0" xfId="0" applyNumberFormat="1" applyFont="1" applyBorder="1" applyAlignment="1">
      <alignment horizontal="center"/>
    </xf>
    <xf numFmtId="0" fontId="26" fillId="0" borderId="0" xfId="0" applyFont="1" applyBorder="1" applyAlignment="1">
      <alignment horizontal="center"/>
    </xf>
    <xf numFmtId="1" fontId="24" fillId="0" borderId="0" xfId="0" applyNumberFormat="1" applyFont="1" applyBorder="1" applyAlignment="1">
      <alignment horizontal="center"/>
    </xf>
    <xf numFmtId="0" fontId="24" fillId="0" borderId="0" xfId="0" applyFont="1" applyBorder="1" applyAlignment="1">
      <alignment horizontal="center"/>
    </xf>
    <xf numFmtId="0" fontId="25" fillId="0" borderId="0" xfId="0" applyFont="1" applyFill="1" applyBorder="1" applyAlignment="1">
      <alignment horizontal="center"/>
    </xf>
    <xf numFmtId="3" fontId="25" fillId="0" borderId="0" xfId="0" applyNumberFormat="1" applyFont="1" applyFill="1" applyBorder="1" applyAlignment="1">
      <alignment horizontal="center"/>
    </xf>
    <xf numFmtId="0" fontId="23" fillId="0" borderId="0" xfId="0" applyFont="1" applyFill="1" applyAlignment="1">
      <alignment/>
    </xf>
    <xf numFmtId="0" fontId="27" fillId="0" borderId="0" xfId="0" applyFont="1" applyFill="1" applyBorder="1" applyAlignment="1">
      <alignment horizontal="center"/>
    </xf>
    <xf numFmtId="3" fontId="27" fillId="0" borderId="0" xfId="0" applyNumberFormat="1" applyFont="1" applyFill="1" applyBorder="1" applyAlignment="1">
      <alignment horizontal="center"/>
    </xf>
    <xf numFmtId="0" fontId="27" fillId="0" borderId="0" xfId="0" applyFont="1" applyFill="1" applyBorder="1" applyAlignment="1">
      <alignment/>
    </xf>
    <xf numFmtId="0" fontId="27" fillId="0" borderId="0" xfId="0" applyNumberFormat="1" applyFont="1" applyFill="1" applyBorder="1" applyAlignment="1">
      <alignment/>
    </xf>
    <xf numFmtId="3" fontId="27" fillId="0" borderId="0" xfId="0" applyNumberFormat="1" applyFont="1" applyFill="1" applyBorder="1" applyAlignment="1">
      <alignment/>
    </xf>
    <xf numFmtId="0" fontId="46" fillId="0" borderId="0" xfId="0" applyFont="1" applyAlignment="1">
      <alignment/>
    </xf>
    <xf numFmtId="0" fontId="27" fillId="0" borderId="11" xfId="0" applyFont="1" applyBorder="1" applyAlignment="1">
      <alignment/>
    </xf>
    <xf numFmtId="0" fontId="26" fillId="0" borderId="0" xfId="0" applyFont="1" applyBorder="1" applyAlignment="1">
      <alignment horizontal="right" indent="4"/>
    </xf>
    <xf numFmtId="0" fontId="27" fillId="0" borderId="11" xfId="0" applyFont="1" applyBorder="1" applyAlignment="1">
      <alignment horizontal="right" indent="4"/>
    </xf>
    <xf numFmtId="0" fontId="23" fillId="0" borderId="12" xfId="0" applyFont="1" applyBorder="1" applyAlignment="1">
      <alignment/>
    </xf>
    <xf numFmtId="0" fontId="26" fillId="0" borderId="0" xfId="0" applyFont="1" applyBorder="1" applyAlignment="1">
      <alignment horizontal="right" indent="5"/>
    </xf>
    <xf numFmtId="0" fontId="28" fillId="0" borderId="12" xfId="0" applyFont="1" applyBorder="1" applyAlignment="1">
      <alignment/>
    </xf>
    <xf numFmtId="0" fontId="30" fillId="0" borderId="13" xfId="0" applyFont="1" applyBorder="1" applyAlignment="1">
      <alignment wrapText="1"/>
    </xf>
    <xf numFmtId="0" fontId="32" fillId="0" borderId="14" xfId="0" applyFont="1" applyBorder="1" applyAlignment="1">
      <alignment horizontal="center" wrapText="1"/>
    </xf>
    <xf numFmtId="0" fontId="23" fillId="0" borderId="10" xfId="0" applyFont="1" applyBorder="1" applyAlignment="1">
      <alignment/>
    </xf>
    <xf numFmtId="0" fontId="23" fillId="0" borderId="15" xfId="0" applyFont="1" applyBorder="1" applyAlignment="1">
      <alignment/>
    </xf>
    <xf numFmtId="0" fontId="0" fillId="0" borderId="14" xfId="0" applyBorder="1" applyAlignment="1">
      <alignment/>
    </xf>
    <xf numFmtId="0" fontId="23" fillId="0" borderId="14" xfId="0" applyFont="1" applyBorder="1" applyAlignment="1">
      <alignment/>
    </xf>
    <xf numFmtId="0" fontId="23" fillId="0" borderId="16" xfId="0" applyFont="1" applyBorder="1" applyAlignment="1">
      <alignment/>
    </xf>
    <xf numFmtId="0" fontId="35" fillId="0" borderId="12" xfId="0" applyFont="1" applyBorder="1" applyAlignment="1">
      <alignment/>
    </xf>
    <xf numFmtId="0" fontId="36" fillId="0" borderId="12" xfId="0" applyFont="1" applyBorder="1" applyAlignment="1">
      <alignment/>
    </xf>
    <xf numFmtId="0" fontId="23" fillId="0" borderId="12" xfId="0" applyFont="1" applyBorder="1" applyAlignment="1">
      <alignment horizontal="right"/>
    </xf>
    <xf numFmtId="0" fontId="23" fillId="0" borderId="17" xfId="0" applyFont="1" applyBorder="1" applyAlignment="1">
      <alignment/>
    </xf>
    <xf numFmtId="0" fontId="26" fillId="0" borderId="18" xfId="0" applyFont="1" applyBorder="1" applyAlignment="1">
      <alignment horizontal="right" indent="5"/>
    </xf>
    <xf numFmtId="0" fontId="27" fillId="0" borderId="19" xfId="0" applyFont="1" applyBorder="1" applyAlignment="1">
      <alignment horizontal="right" indent="5"/>
    </xf>
    <xf numFmtId="0" fontId="27" fillId="0" borderId="0" xfId="0" applyFont="1" applyAlignment="1">
      <alignment horizontal="right" indent="5"/>
    </xf>
    <xf numFmtId="0" fontId="26" fillId="0" borderId="18" xfId="0" applyFont="1" applyBorder="1" applyAlignment="1">
      <alignment horizontal="right" indent="4"/>
    </xf>
    <xf numFmtId="0" fontId="27" fillId="0" borderId="19" xfId="0" applyFont="1" applyBorder="1" applyAlignment="1">
      <alignment horizontal="right" indent="4"/>
    </xf>
    <xf numFmtId="0" fontId="28" fillId="0" borderId="17" xfId="0" applyFont="1" applyBorder="1" applyAlignment="1">
      <alignment/>
    </xf>
    <xf numFmtId="0" fontId="0" fillId="0" borderId="20" xfId="0" applyBorder="1" applyAlignment="1">
      <alignment/>
    </xf>
    <xf numFmtId="0" fontId="8" fillId="0" borderId="21" xfId="0" applyFont="1" applyBorder="1" applyAlignment="1">
      <alignment/>
    </xf>
    <xf numFmtId="0" fontId="6" fillId="0" borderId="22" xfId="0" applyFont="1" applyBorder="1" applyAlignment="1">
      <alignment/>
    </xf>
    <xf numFmtId="0" fontId="23" fillId="0" borderId="0" xfId="0" applyFont="1" applyBorder="1" applyAlignment="1">
      <alignment/>
    </xf>
    <xf numFmtId="1" fontId="27" fillId="0" borderId="0" xfId="0" applyNumberFormat="1" applyFont="1" applyBorder="1" applyAlignment="1">
      <alignment horizontal="right" indent="4"/>
    </xf>
    <xf numFmtId="1" fontId="26" fillId="0" borderId="0" xfId="0" applyNumberFormat="1" applyFont="1" applyBorder="1" applyAlignment="1">
      <alignment horizontal="right" wrapText="1" indent="4"/>
    </xf>
    <xf numFmtId="0" fontId="26" fillId="0" borderId="0" xfId="0" applyFont="1" applyBorder="1" applyAlignment="1">
      <alignment horizontal="right" wrapText="1" indent="4"/>
    </xf>
    <xf numFmtId="1" fontId="27" fillId="0" borderId="0" xfId="0" applyNumberFormat="1" applyFont="1" applyBorder="1" applyAlignment="1">
      <alignment horizontal="right" indent="3"/>
    </xf>
    <xf numFmtId="0" fontId="23" fillId="0" borderId="0" xfId="0" applyFont="1" applyFill="1" applyBorder="1" applyAlignment="1">
      <alignment/>
    </xf>
    <xf numFmtId="0" fontId="49" fillId="0" borderId="0" xfId="0" applyFont="1" applyFill="1" applyBorder="1" applyAlignment="1">
      <alignment horizontal="center"/>
    </xf>
    <xf numFmtId="3" fontId="49" fillId="0" borderId="0" xfId="0" applyNumberFormat="1" applyFont="1" applyFill="1" applyBorder="1" applyAlignment="1">
      <alignment horizontal="center"/>
    </xf>
    <xf numFmtId="0" fontId="48" fillId="0" borderId="0" xfId="0" applyFont="1" applyFill="1" applyBorder="1" applyAlignment="1">
      <alignment horizontal="center"/>
    </xf>
    <xf numFmtId="3" fontId="48" fillId="0" borderId="0" xfId="0" applyNumberFormat="1" applyFont="1" applyFill="1" applyBorder="1" applyAlignment="1">
      <alignment horizontal="center"/>
    </xf>
    <xf numFmtId="165" fontId="48" fillId="0" borderId="0" xfId="0" applyNumberFormat="1" applyFont="1" applyFill="1" applyBorder="1" applyAlignment="1">
      <alignment horizontal="center"/>
    </xf>
    <xf numFmtId="0" fontId="11" fillId="0" borderId="0" xfId="0" applyNumberFormat="1" applyFont="1" applyAlignment="1">
      <alignment wrapText="1"/>
    </xf>
    <xf numFmtId="0" fontId="0" fillId="0" borderId="0" xfId="0" applyNumberFormat="1" applyFont="1" applyAlignment="1">
      <alignment wrapText="1"/>
    </xf>
    <xf numFmtId="0" fontId="18" fillId="0" borderId="0" xfId="0" applyFont="1" applyAlignment="1">
      <alignment horizontal="center" wrapText="1"/>
    </xf>
    <xf numFmtId="0" fontId="26" fillId="0" borderId="10" xfId="0" applyFont="1" applyBorder="1" applyAlignment="1">
      <alignment horizontal="right" indent="5"/>
    </xf>
    <xf numFmtId="0" fontId="26" fillId="0" borderId="10" xfId="0" applyFont="1" applyBorder="1" applyAlignment="1">
      <alignment horizontal="right" indent="4"/>
    </xf>
    <xf numFmtId="0" fontId="23" fillId="0" borderId="23" xfId="0" applyFont="1" applyBorder="1" applyAlignment="1">
      <alignment/>
    </xf>
    <xf numFmtId="0" fontId="27" fillId="0" borderId="15" xfId="0" applyFont="1" applyBorder="1" applyAlignment="1">
      <alignment horizontal="right" indent="4"/>
    </xf>
    <xf numFmtId="0" fontId="0" fillId="0" borderId="0" xfId="0" applyFont="1" applyAlignment="1">
      <alignment vertical="top" wrapText="1" readingOrder="1"/>
    </xf>
    <xf numFmtId="0" fontId="52" fillId="0" borderId="0" xfId="0" applyFont="1" applyAlignment="1">
      <alignment/>
    </xf>
    <xf numFmtId="0" fontId="52" fillId="0" borderId="0" xfId="0" applyFont="1" applyBorder="1" applyAlignment="1">
      <alignment/>
    </xf>
    <xf numFmtId="0" fontId="52" fillId="0" borderId="0" xfId="0" applyFont="1" applyBorder="1" applyAlignment="1">
      <alignment/>
    </xf>
    <xf numFmtId="0" fontId="52" fillId="0" borderId="0" xfId="0" applyFont="1" applyBorder="1" applyAlignment="1">
      <alignment wrapText="1"/>
    </xf>
    <xf numFmtId="0" fontId="23" fillId="0" borderId="0" xfId="0" applyFont="1" applyFill="1" applyBorder="1" applyAlignment="1">
      <alignment horizontal="right" indent="4"/>
    </xf>
    <xf numFmtId="0" fontId="24" fillId="0" borderId="0" xfId="0" applyFont="1" applyFill="1" applyBorder="1" applyAlignment="1">
      <alignment horizontal="center"/>
    </xf>
    <xf numFmtId="0" fontId="28" fillId="0" borderId="0" xfId="0" applyFont="1" applyFill="1" applyBorder="1" applyAlignment="1">
      <alignment horizontal="center"/>
    </xf>
    <xf numFmtId="0" fontId="3" fillId="0" borderId="0" xfId="0" applyFont="1" applyAlignment="1">
      <alignment/>
    </xf>
    <xf numFmtId="0" fontId="9" fillId="0" borderId="0" xfId="0" applyFont="1" applyBorder="1" applyAlignment="1">
      <alignment/>
    </xf>
    <xf numFmtId="0" fontId="23" fillId="0" borderId="0" xfId="0" applyFont="1" applyFill="1" applyBorder="1" applyAlignment="1">
      <alignment/>
    </xf>
    <xf numFmtId="0" fontId="23" fillId="0" borderId="0" xfId="0" applyFont="1" applyFill="1" applyBorder="1" applyAlignment="1">
      <alignment horizontal="right" indent="4"/>
    </xf>
    <xf numFmtId="0" fontId="23" fillId="0" borderId="0" xfId="0" applyFont="1" applyFill="1" applyBorder="1" applyAlignment="1">
      <alignment horizontal="right" indent="6"/>
    </xf>
    <xf numFmtId="3" fontId="28" fillId="0" borderId="0" xfId="0" applyNumberFormat="1" applyFont="1" applyFill="1" applyBorder="1" applyAlignment="1">
      <alignment horizontal="right" indent="1"/>
    </xf>
    <xf numFmtId="1" fontId="24" fillId="0" borderId="0" xfId="0" applyNumberFormat="1" applyFont="1" applyFill="1" applyBorder="1" applyAlignment="1">
      <alignment horizontal="center"/>
    </xf>
    <xf numFmtId="3" fontId="50" fillId="0" borderId="0" xfId="0" applyNumberFormat="1" applyFont="1" applyFill="1" applyBorder="1" applyAlignment="1">
      <alignment horizontal="center"/>
    </xf>
    <xf numFmtId="165" fontId="50" fillId="0" borderId="0" xfId="0" applyNumberFormat="1" applyFont="1" applyFill="1" applyBorder="1" applyAlignment="1">
      <alignment horizontal="center"/>
    </xf>
    <xf numFmtId="0" fontId="23" fillId="0" borderId="0" xfId="0" applyFont="1" applyBorder="1" applyAlignment="1">
      <alignment/>
    </xf>
    <xf numFmtId="0" fontId="23" fillId="0" borderId="0" xfId="0" applyFont="1" applyBorder="1" applyAlignment="1">
      <alignment horizontal="right" indent="4"/>
    </xf>
    <xf numFmtId="0" fontId="23" fillId="0" borderId="0" xfId="0" applyFont="1" applyBorder="1" applyAlignment="1">
      <alignment horizontal="right" indent="6"/>
    </xf>
    <xf numFmtId="3" fontId="28" fillId="0" borderId="0" xfId="0" applyNumberFormat="1" applyFont="1" applyBorder="1" applyAlignment="1">
      <alignment horizontal="right" indent="1"/>
    </xf>
    <xf numFmtId="0" fontId="23" fillId="0" borderId="0" xfId="0" applyFont="1" applyBorder="1" applyAlignment="1">
      <alignment horizontal="right" indent="4"/>
    </xf>
    <xf numFmtId="0" fontId="54" fillId="0" borderId="0" xfId="0" applyFont="1" applyFill="1" applyBorder="1" applyAlignment="1">
      <alignment horizontal="center"/>
    </xf>
    <xf numFmtId="0" fontId="0" fillId="0" borderId="0" xfId="0" applyBorder="1" applyAlignment="1">
      <alignment/>
    </xf>
    <xf numFmtId="0" fontId="27" fillId="0" borderId="0" xfId="0" applyFont="1" applyFill="1" applyBorder="1" applyAlignment="1">
      <alignment vertical="top" wrapText="1"/>
    </xf>
    <xf numFmtId="0" fontId="0" fillId="0" borderId="0" xfId="0" applyBorder="1" applyAlignment="1">
      <alignment wrapText="1"/>
    </xf>
    <xf numFmtId="0" fontId="7" fillId="0" borderId="0" xfId="0" applyFont="1" applyFill="1" applyBorder="1" applyAlignment="1">
      <alignment/>
    </xf>
    <xf numFmtId="0" fontId="25" fillId="0" borderId="0" xfId="0" applyFont="1" applyFill="1" applyBorder="1" applyAlignment="1">
      <alignment horizontal="center"/>
    </xf>
    <xf numFmtId="165" fontId="27" fillId="0" borderId="0" xfId="0" applyNumberFormat="1" applyFont="1" applyFill="1" applyBorder="1" applyAlignment="1">
      <alignment horizontal="center"/>
    </xf>
    <xf numFmtId="3" fontId="27" fillId="0" borderId="0" xfId="0" applyNumberFormat="1" applyFont="1" applyFill="1" applyBorder="1" applyAlignment="1">
      <alignment/>
    </xf>
    <xf numFmtId="0" fontId="0" fillId="0" borderId="0" xfId="0" applyFill="1" applyBorder="1" applyAlignment="1">
      <alignment/>
    </xf>
    <xf numFmtId="0" fontId="27" fillId="0" borderId="0" xfId="0" applyFont="1" applyFill="1" applyBorder="1" applyAlignment="1">
      <alignment/>
    </xf>
    <xf numFmtId="3" fontId="7" fillId="0" borderId="0" xfId="0" applyNumberFormat="1" applyFont="1" applyFill="1" applyBorder="1" applyAlignment="1">
      <alignment/>
    </xf>
    <xf numFmtId="3" fontId="27" fillId="0" borderId="0" xfId="0" applyNumberFormat="1" applyFont="1" applyFill="1" applyBorder="1" applyAlignment="1">
      <alignment/>
    </xf>
    <xf numFmtId="3" fontId="75" fillId="0" borderId="0" xfId="0" applyNumberFormat="1" applyFont="1" applyFill="1" applyBorder="1" applyAlignment="1">
      <alignment horizontal="center"/>
    </xf>
    <xf numFmtId="4" fontId="0" fillId="0" borderId="0" xfId="0" applyNumberFormat="1" applyBorder="1" applyAlignment="1">
      <alignment/>
    </xf>
    <xf numFmtId="0" fontId="25" fillId="0" borderId="24" xfId="0" applyFont="1" applyFill="1" applyBorder="1" applyAlignment="1">
      <alignment horizontal="center" wrapText="1"/>
    </xf>
    <xf numFmtId="0" fontId="6" fillId="0" borderId="25" xfId="0" applyFont="1" applyFill="1" applyBorder="1" applyAlignment="1">
      <alignment horizontal="center" wrapText="1"/>
    </xf>
    <xf numFmtId="0" fontId="78" fillId="0" borderId="26" xfId="0" applyFont="1" applyFill="1" applyBorder="1" applyAlignment="1">
      <alignment vertical="top" wrapText="1"/>
    </xf>
    <xf numFmtId="0" fontId="78" fillId="0" borderId="27" xfId="0" applyFont="1" applyFill="1" applyBorder="1" applyAlignment="1">
      <alignment vertical="top" wrapText="1"/>
    </xf>
    <xf numFmtId="0" fontId="27" fillId="0" borderId="27" xfId="0" applyFont="1" applyFill="1" applyBorder="1" applyAlignment="1">
      <alignment vertical="top" wrapText="1"/>
    </xf>
    <xf numFmtId="0" fontId="27" fillId="0" borderId="27" xfId="0" applyFont="1" applyBorder="1" applyAlignment="1">
      <alignment vertical="top" wrapText="1"/>
    </xf>
    <xf numFmtId="0" fontId="27" fillId="0" borderId="27" xfId="0" applyFont="1" applyBorder="1" applyAlignment="1">
      <alignment vertical="top" wrapText="1"/>
    </xf>
    <xf numFmtId="0" fontId="79" fillId="0" borderId="27" xfId="0" applyFont="1" applyBorder="1" applyAlignment="1">
      <alignment wrapText="1"/>
    </xf>
    <xf numFmtId="0" fontId="38" fillId="0" borderId="28" xfId="0" applyFont="1"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24" fillId="0" borderId="32" xfId="0" applyFont="1" applyBorder="1" applyAlignment="1">
      <alignment horizontal="center" wrapText="1"/>
    </xf>
    <xf numFmtId="0" fontId="26" fillId="0" borderId="32" xfId="0" applyFont="1" applyBorder="1" applyAlignment="1">
      <alignment horizontal="center" wrapText="1"/>
    </xf>
    <xf numFmtId="0" fontId="41" fillId="0" borderId="32" xfId="0" applyFont="1" applyBorder="1" applyAlignment="1">
      <alignment wrapText="1"/>
    </xf>
    <xf numFmtId="0" fontId="26" fillId="0" borderId="32" xfId="0" applyFont="1" applyBorder="1" applyAlignment="1">
      <alignment/>
    </xf>
    <xf numFmtId="0" fontId="0" fillId="0" borderId="31" xfId="0" applyBorder="1" applyAlignment="1">
      <alignment/>
    </xf>
    <xf numFmtId="0" fontId="0" fillId="0" borderId="33" xfId="0" applyFill="1" applyBorder="1" applyAlignment="1">
      <alignment/>
    </xf>
    <xf numFmtId="0" fontId="38" fillId="0" borderId="34" xfId="0" applyFont="1" applyBorder="1" applyAlignment="1">
      <alignment/>
    </xf>
    <xf numFmtId="0" fontId="13" fillId="0" borderId="35" xfId="0" applyFont="1" applyBorder="1" applyAlignment="1">
      <alignment/>
    </xf>
    <xf numFmtId="0" fontId="39" fillId="0" borderId="36" xfId="0" applyFont="1" applyBorder="1" applyAlignment="1">
      <alignment/>
    </xf>
    <xf numFmtId="0" fontId="26" fillId="0" borderId="0" xfId="0" applyFont="1" applyBorder="1" applyAlignment="1">
      <alignment/>
    </xf>
    <xf numFmtId="0" fontId="26" fillId="0" borderId="0" xfId="0" applyFont="1" applyBorder="1" applyAlignment="1">
      <alignment/>
    </xf>
    <xf numFmtId="0" fontId="26" fillId="0" borderId="0" xfId="0" applyFont="1" applyBorder="1" applyAlignment="1">
      <alignment wrapText="1"/>
    </xf>
    <xf numFmtId="0" fontId="26" fillId="0" borderId="0" xfId="0" applyFont="1" applyBorder="1" applyAlignment="1">
      <alignment/>
    </xf>
    <xf numFmtId="0" fontId="20" fillId="0" borderId="28" xfId="0" applyFont="1" applyBorder="1" applyAlignment="1">
      <alignment/>
    </xf>
    <xf numFmtId="0" fontId="7" fillId="0" borderId="21" xfId="0" applyFont="1" applyBorder="1" applyAlignment="1">
      <alignment/>
    </xf>
    <xf numFmtId="0" fontId="7" fillId="0" borderId="29" xfId="0" applyFont="1" applyFill="1" applyBorder="1" applyAlignment="1">
      <alignment/>
    </xf>
    <xf numFmtId="0" fontId="15" fillId="0" borderId="32" xfId="0" applyFont="1" applyBorder="1" applyAlignment="1">
      <alignment/>
    </xf>
    <xf numFmtId="0" fontId="22" fillId="0" borderId="0" xfId="0" applyFont="1" applyFill="1" applyBorder="1" applyAlignment="1">
      <alignment horizontal="center"/>
    </xf>
    <xf numFmtId="0" fontId="25" fillId="0" borderId="32" xfId="0" applyFont="1" applyBorder="1" applyAlignment="1">
      <alignment horizontal="center"/>
    </xf>
    <xf numFmtId="0" fontId="23" fillId="0" borderId="32" xfId="0" applyFont="1" applyBorder="1" applyAlignment="1">
      <alignment/>
    </xf>
    <xf numFmtId="0" fontId="27" fillId="0" borderId="32" xfId="0" applyFont="1" applyBorder="1" applyAlignment="1">
      <alignment horizontal="left"/>
    </xf>
    <xf numFmtId="1" fontId="21" fillId="0" borderId="0" xfId="0" applyNumberFormat="1" applyFont="1" applyFill="1" applyBorder="1" applyAlignment="1">
      <alignment/>
    </xf>
    <xf numFmtId="1" fontId="27" fillId="0" borderId="32" xfId="0" applyNumberFormat="1" applyFont="1" applyBorder="1" applyAlignment="1">
      <alignment/>
    </xf>
    <xf numFmtId="0" fontId="44" fillId="0" borderId="32" xfId="0" applyFont="1" applyBorder="1" applyAlignment="1">
      <alignment/>
    </xf>
    <xf numFmtId="0" fontId="27" fillId="0" borderId="32" xfId="0" applyFont="1" applyBorder="1" applyAlignment="1">
      <alignment/>
    </xf>
    <xf numFmtId="0" fontId="7" fillId="0" borderId="0" xfId="0" applyFont="1" applyBorder="1" applyAlignment="1">
      <alignment/>
    </xf>
    <xf numFmtId="0" fontId="27" fillId="0" borderId="37" xfId="0" applyFont="1" applyBorder="1" applyAlignment="1">
      <alignment/>
    </xf>
    <xf numFmtId="0" fontId="27" fillId="0" borderId="14" xfId="0" applyFont="1" applyBorder="1" applyAlignment="1">
      <alignment/>
    </xf>
    <xf numFmtId="0" fontId="7" fillId="0" borderId="33" xfId="0" applyFont="1" applyBorder="1" applyAlignment="1">
      <alignment/>
    </xf>
    <xf numFmtId="0" fontId="0" fillId="0" borderId="33" xfId="0" applyBorder="1" applyAlignment="1">
      <alignment/>
    </xf>
    <xf numFmtId="0" fontId="0" fillId="0" borderId="38" xfId="0" applyBorder="1" applyAlignment="1">
      <alignment/>
    </xf>
    <xf numFmtId="0" fontId="7" fillId="0" borderId="39" xfId="0" applyFont="1" applyFill="1" applyBorder="1" applyAlignment="1">
      <alignment/>
    </xf>
    <xf numFmtId="0" fontId="21" fillId="0" borderId="0" xfId="0" applyFont="1" applyFill="1" applyBorder="1" applyAlignment="1">
      <alignment/>
    </xf>
    <xf numFmtId="0" fontId="42" fillId="0" borderId="0" xfId="0" applyFont="1" applyFill="1" applyBorder="1" applyAlignment="1">
      <alignment horizontal="center"/>
    </xf>
    <xf numFmtId="1" fontId="43" fillId="0" borderId="0" xfId="0" applyNumberFormat="1" applyFont="1" applyFill="1" applyBorder="1" applyAlignment="1">
      <alignment/>
    </xf>
    <xf numFmtId="0" fontId="27" fillId="0" borderId="0" xfId="0" applyFont="1" applyBorder="1" applyAlignment="1">
      <alignment/>
    </xf>
    <xf numFmtId="0" fontId="27" fillId="0" borderId="40" xfId="0" applyFont="1" applyBorder="1" applyAlignment="1">
      <alignment/>
    </xf>
    <xf numFmtId="0" fontId="8" fillId="0" borderId="29" xfId="0" applyFont="1" applyBorder="1" applyAlignment="1">
      <alignment/>
    </xf>
    <xf numFmtId="0" fontId="14" fillId="0" borderId="32" xfId="0" applyFont="1" applyBorder="1" applyAlignment="1">
      <alignment/>
    </xf>
    <xf numFmtId="0" fontId="23" fillId="0" borderId="31" xfId="0" applyFont="1" applyBorder="1" applyAlignment="1">
      <alignment/>
    </xf>
    <xf numFmtId="0" fontId="26" fillId="0" borderId="32" xfId="0" applyFont="1" applyBorder="1" applyAlignment="1">
      <alignment horizontal="center"/>
    </xf>
    <xf numFmtId="0" fontId="24" fillId="0" borderId="32" xfId="0" applyFont="1" applyBorder="1" applyAlignment="1">
      <alignment horizontal="left"/>
    </xf>
    <xf numFmtId="0" fontId="41" fillId="0" borderId="32" xfId="0" applyFont="1" applyBorder="1" applyAlignment="1">
      <alignment/>
    </xf>
    <xf numFmtId="1" fontId="26" fillId="0" borderId="0" xfId="0" applyNumberFormat="1" applyFont="1" applyBorder="1" applyAlignment="1">
      <alignment/>
    </xf>
    <xf numFmtId="0" fontId="26" fillId="0" borderId="32" xfId="0" applyFont="1" applyFill="1" applyBorder="1" applyAlignment="1">
      <alignment/>
    </xf>
    <xf numFmtId="1" fontId="8" fillId="0" borderId="0" xfId="0" applyNumberFormat="1" applyFont="1" applyBorder="1" applyAlignment="1">
      <alignment/>
    </xf>
    <xf numFmtId="0" fontId="8" fillId="0" borderId="37" xfId="0" applyFont="1" applyFill="1" applyBorder="1" applyAlignment="1">
      <alignment/>
    </xf>
    <xf numFmtId="0" fontId="8" fillId="0" borderId="14" xfId="0" applyFont="1" applyFill="1" applyBorder="1" applyAlignment="1">
      <alignment/>
    </xf>
    <xf numFmtId="1" fontId="8" fillId="0" borderId="33" xfId="0" applyNumberFormat="1" applyFont="1" applyFill="1" applyBorder="1" applyAlignment="1">
      <alignment/>
    </xf>
    <xf numFmtId="0" fontId="8" fillId="0" borderId="33" xfId="0" applyFont="1" applyFill="1" applyBorder="1" applyAlignment="1">
      <alignment/>
    </xf>
    <xf numFmtId="0" fontId="8" fillId="0" borderId="39" xfId="0" applyFont="1" applyBorder="1" applyAlignment="1">
      <alignment/>
    </xf>
    <xf numFmtId="0" fontId="8" fillId="0" borderId="40" xfId="0" applyFont="1" applyFill="1" applyBorder="1" applyAlignment="1">
      <alignment/>
    </xf>
    <xf numFmtId="0" fontId="8" fillId="0" borderId="29" xfId="0" applyFont="1" applyBorder="1" applyAlignment="1">
      <alignment/>
    </xf>
    <xf numFmtId="0" fontId="8" fillId="0" borderId="0" xfId="0" applyFont="1" applyBorder="1" applyAlignment="1">
      <alignment/>
    </xf>
    <xf numFmtId="0" fontId="24" fillId="0" borderId="0" xfId="0" applyFont="1" applyBorder="1" applyAlignment="1">
      <alignment horizontal="center" wrapText="1"/>
    </xf>
    <xf numFmtId="1" fontId="26" fillId="0" borderId="0" xfId="0" applyNumberFormat="1" applyFont="1" applyBorder="1" applyAlignment="1">
      <alignment horizontal="center"/>
    </xf>
    <xf numFmtId="1" fontId="26" fillId="0" borderId="0" xfId="0" applyNumberFormat="1" applyFont="1" applyBorder="1" applyAlignment="1">
      <alignment/>
    </xf>
    <xf numFmtId="1" fontId="26" fillId="0" borderId="0" xfId="0" applyNumberFormat="1" applyFont="1" applyFill="1" applyBorder="1" applyAlignment="1">
      <alignment/>
    </xf>
    <xf numFmtId="1" fontId="8" fillId="0" borderId="0" xfId="0" applyNumberFormat="1" applyFont="1" applyFill="1" applyBorder="1" applyAlignment="1">
      <alignment/>
    </xf>
    <xf numFmtId="1" fontId="8" fillId="0" borderId="33" xfId="0" applyNumberFormat="1" applyFont="1" applyFill="1" applyBorder="1" applyAlignment="1">
      <alignment/>
    </xf>
    <xf numFmtId="0" fontId="76" fillId="0" borderId="41" xfId="0" applyFont="1" applyFill="1" applyBorder="1" applyAlignment="1">
      <alignment wrapText="1"/>
    </xf>
    <xf numFmtId="0" fontId="8" fillId="0" borderId="42" xfId="0" applyFont="1" applyBorder="1" applyAlignment="1">
      <alignment/>
    </xf>
    <xf numFmtId="0" fontId="26" fillId="0" borderId="31" xfId="0" applyFont="1" applyBorder="1" applyAlignment="1">
      <alignment/>
    </xf>
    <xf numFmtId="0" fontId="8" fillId="0" borderId="31" xfId="0" applyFont="1" applyBorder="1" applyAlignment="1">
      <alignment/>
    </xf>
    <xf numFmtId="0" fontId="8" fillId="0" borderId="38" xfId="0" applyFont="1" applyFill="1" applyBorder="1" applyAlignment="1">
      <alignment/>
    </xf>
    <xf numFmtId="0" fontId="0" fillId="0" borderId="43" xfId="0" applyBorder="1" applyAlignment="1">
      <alignment/>
    </xf>
    <xf numFmtId="0" fontId="23" fillId="0" borderId="0" xfId="0" applyFont="1" applyFill="1" applyBorder="1" applyAlignment="1">
      <alignment/>
    </xf>
    <xf numFmtId="0" fontId="28" fillId="0" borderId="0" xfId="0" applyFont="1" applyFill="1" applyBorder="1" applyAlignment="1">
      <alignment horizontal="center"/>
    </xf>
    <xf numFmtId="0" fontId="49" fillId="0" borderId="33" xfId="0" applyFont="1" applyFill="1" applyBorder="1" applyAlignment="1">
      <alignment horizontal="center"/>
    </xf>
    <xf numFmtId="3" fontId="49" fillId="0" borderId="33" xfId="0" applyNumberFormat="1" applyFont="1" applyFill="1" applyBorder="1" applyAlignment="1">
      <alignment horizontal="center"/>
    </xf>
    <xf numFmtId="0" fontId="28" fillId="0" borderId="33" xfId="0" applyFont="1" applyFill="1" applyBorder="1" applyAlignment="1">
      <alignment horizontal="center"/>
    </xf>
    <xf numFmtId="0" fontId="0" fillId="0" borderId="44" xfId="0" applyBorder="1" applyAlignment="1">
      <alignment/>
    </xf>
    <xf numFmtId="0" fontId="0" fillId="0" borderId="45" xfId="0" applyBorder="1" applyAlignment="1">
      <alignment/>
    </xf>
    <xf numFmtId="0" fontId="31" fillId="0" borderId="46" xfId="0" applyFont="1" applyBorder="1" applyAlignment="1">
      <alignment horizontal="center" wrapText="1"/>
    </xf>
    <xf numFmtId="0" fontId="31" fillId="0" borderId="47" xfId="0" applyFont="1" applyBorder="1" applyAlignment="1">
      <alignment horizontal="center" wrapText="1"/>
    </xf>
    <xf numFmtId="0" fontId="31" fillId="0" borderId="47" xfId="0" applyFont="1" applyFill="1" applyBorder="1" applyAlignment="1">
      <alignment horizontal="center" wrapText="1"/>
    </xf>
    <xf numFmtId="0" fontId="31" fillId="0" borderId="47" xfId="0" applyFont="1" applyFill="1" applyBorder="1" applyAlignment="1">
      <alignment horizontal="center" vertical="top" wrapText="1"/>
    </xf>
    <xf numFmtId="3" fontId="31" fillId="0" borderId="47" xfId="0" applyNumberFormat="1" applyFont="1" applyBorder="1" applyAlignment="1">
      <alignment horizontal="center" wrapText="1"/>
    </xf>
    <xf numFmtId="4" fontId="31" fillId="0" borderId="47" xfId="0" applyNumberFormat="1" applyFont="1" applyFill="1" applyBorder="1" applyAlignment="1">
      <alignment horizontal="center" vertical="top" wrapText="1"/>
    </xf>
    <xf numFmtId="4" fontId="31" fillId="0" borderId="47" xfId="0" applyNumberFormat="1" applyFont="1" applyFill="1" applyBorder="1" applyAlignment="1">
      <alignment horizontal="center" wrapText="1"/>
    </xf>
    <xf numFmtId="0" fontId="2" fillId="0" borderId="0" xfId="0" applyFont="1" applyBorder="1" applyAlignment="1">
      <alignment/>
    </xf>
    <xf numFmtId="1" fontId="27" fillId="0" borderId="0" xfId="0" applyNumberFormat="1" applyFont="1" applyBorder="1" applyAlignment="1">
      <alignment/>
    </xf>
    <xf numFmtId="1" fontId="27" fillId="0" borderId="0" xfId="0" applyNumberFormat="1" applyFont="1" applyBorder="1" applyAlignment="1">
      <alignment horizontal="right"/>
    </xf>
    <xf numFmtId="2" fontId="26" fillId="0" borderId="0" xfId="0" applyNumberFormat="1" applyFont="1" applyBorder="1" applyAlignment="1">
      <alignment horizontal="center"/>
    </xf>
    <xf numFmtId="0" fontId="8" fillId="0" borderId="0" xfId="0" applyFont="1" applyFill="1" applyAlignment="1">
      <alignment/>
    </xf>
    <xf numFmtId="1" fontId="8" fillId="0" borderId="0" xfId="0" applyNumberFormat="1" applyFont="1" applyFill="1" applyAlignment="1">
      <alignment/>
    </xf>
    <xf numFmtId="0" fontId="81" fillId="0" borderId="0" xfId="0" applyFont="1" applyFill="1" applyBorder="1" applyAlignment="1">
      <alignment/>
    </xf>
    <xf numFmtId="0" fontId="23" fillId="0" borderId="0" xfId="0" applyFont="1" applyFill="1" applyBorder="1" applyAlignment="1">
      <alignment/>
    </xf>
    <xf numFmtId="1" fontId="27" fillId="0" borderId="0" xfId="0" applyNumberFormat="1" applyFont="1" applyFill="1" applyBorder="1" applyAlignment="1">
      <alignment horizontal="center"/>
    </xf>
    <xf numFmtId="0" fontId="78" fillId="0" borderId="0" xfId="0" applyFont="1" applyFill="1" applyBorder="1" applyAlignment="1">
      <alignment/>
    </xf>
    <xf numFmtId="0" fontId="49" fillId="0" borderId="48" xfId="0" applyFont="1" applyFill="1" applyBorder="1" applyAlignment="1">
      <alignment/>
    </xf>
    <xf numFmtId="0" fontId="50" fillId="0" borderId="0" xfId="0" applyFont="1" applyFill="1" applyBorder="1" applyAlignment="1">
      <alignment horizontal="center"/>
    </xf>
    <xf numFmtId="0" fontId="50" fillId="0" borderId="0" xfId="0" applyFont="1" applyFill="1" applyBorder="1" applyAlignment="1">
      <alignment/>
    </xf>
    <xf numFmtId="0" fontId="79" fillId="0" borderId="0" xfId="0" applyFont="1" applyFill="1" applyAlignment="1">
      <alignment/>
    </xf>
    <xf numFmtId="0" fontId="31" fillId="0" borderId="47" xfId="0" applyFont="1" applyFill="1" applyBorder="1" applyAlignment="1">
      <alignment horizontal="center" wrapText="1"/>
    </xf>
    <xf numFmtId="0" fontId="31" fillId="0" borderId="47" xfId="0" applyFont="1" applyBorder="1" applyAlignment="1">
      <alignment horizontal="center" wrapText="1"/>
    </xf>
    <xf numFmtId="0" fontId="23" fillId="0" borderId="0" xfId="0" applyFont="1" applyAlignment="1">
      <alignment/>
    </xf>
    <xf numFmtId="3" fontId="31" fillId="0" borderId="47" xfId="0" applyNumberFormat="1" applyFont="1" applyBorder="1" applyAlignment="1">
      <alignment horizontal="center" wrapText="1"/>
    </xf>
    <xf numFmtId="3" fontId="73" fillId="0" borderId="0" xfId="53" applyNumberFormat="1" applyFill="1" applyBorder="1" applyAlignment="1">
      <alignment horizontal="center"/>
    </xf>
    <xf numFmtId="0" fontId="27" fillId="0" borderId="0" xfId="0" applyFont="1" applyBorder="1" applyAlignment="1">
      <alignment wrapText="1"/>
    </xf>
    <xf numFmtId="0" fontId="8" fillId="0" borderId="0" xfId="0" applyFont="1" applyBorder="1" applyAlignment="1">
      <alignment wrapText="1"/>
    </xf>
    <xf numFmtId="0" fontId="23" fillId="0" borderId="0" xfId="0" applyFont="1" applyBorder="1" applyAlignment="1">
      <alignment wrapText="1"/>
    </xf>
    <xf numFmtId="0" fontId="23" fillId="0" borderId="0" xfId="0" applyFont="1" applyBorder="1" applyAlignment="1">
      <alignment/>
    </xf>
    <xf numFmtId="0" fontId="38" fillId="0" borderId="49" xfId="0" applyFont="1" applyBorder="1" applyAlignment="1">
      <alignment/>
    </xf>
    <xf numFmtId="0" fontId="13" fillId="0" borderId="29" xfId="0" applyFont="1" applyBorder="1" applyAlignment="1">
      <alignment/>
    </xf>
    <xf numFmtId="0" fontId="26" fillId="0" borderId="43" xfId="0" applyFont="1" applyBorder="1" applyAlignment="1">
      <alignment/>
    </xf>
    <xf numFmtId="0" fontId="23" fillId="0" borderId="31" xfId="0" applyFont="1" applyBorder="1" applyAlignment="1">
      <alignment/>
    </xf>
    <xf numFmtId="0" fontId="24" fillId="0" borderId="43" xfId="0" applyFont="1" applyBorder="1" applyAlignment="1">
      <alignment horizontal="center" wrapText="1"/>
    </xf>
    <xf numFmtId="0" fontId="26" fillId="0" borderId="43" xfId="0" applyFont="1" applyBorder="1" applyAlignment="1">
      <alignment horizontal="center" wrapText="1"/>
    </xf>
    <xf numFmtId="0" fontId="26" fillId="0" borderId="43" xfId="0" applyFont="1" applyBorder="1" applyAlignment="1">
      <alignment wrapText="1"/>
    </xf>
    <xf numFmtId="0" fontId="41" fillId="0" borderId="43" xfId="0" applyFont="1" applyBorder="1" applyAlignment="1">
      <alignment wrapText="1"/>
    </xf>
    <xf numFmtId="0" fontId="26" fillId="0" borderId="43" xfId="0" applyFont="1" applyBorder="1" applyAlignment="1">
      <alignment/>
    </xf>
    <xf numFmtId="0" fontId="23" fillId="0" borderId="31" xfId="0" applyFont="1" applyBorder="1" applyAlignment="1">
      <alignment/>
    </xf>
    <xf numFmtId="0" fontId="20" fillId="0" borderId="49" xfId="0" applyFont="1" applyBorder="1" applyAlignment="1">
      <alignment/>
    </xf>
    <xf numFmtId="0" fontId="7" fillId="0" borderId="29" xfId="0" applyFont="1" applyBorder="1" applyAlignment="1">
      <alignment/>
    </xf>
    <xf numFmtId="0" fontId="7" fillId="0" borderId="30" xfId="0" applyFont="1" applyBorder="1" applyAlignment="1">
      <alignment/>
    </xf>
    <xf numFmtId="0" fontId="7" fillId="0" borderId="43" xfId="0" applyFont="1" applyBorder="1" applyAlignment="1">
      <alignment/>
    </xf>
    <xf numFmtId="0" fontId="6" fillId="0" borderId="0" xfId="0" applyFont="1" applyFill="1" applyBorder="1" applyAlignment="1">
      <alignment horizontal="center"/>
    </xf>
    <xf numFmtId="0" fontId="6" fillId="0" borderId="0" xfId="0" applyFont="1" applyFill="1" applyBorder="1" applyAlignment="1">
      <alignment/>
    </xf>
    <xf numFmtId="0" fontId="7" fillId="0" borderId="31" xfId="0" applyFont="1" applyBorder="1" applyAlignment="1">
      <alignment/>
    </xf>
    <xf numFmtId="0" fontId="25" fillId="0" borderId="43" xfId="0" applyFont="1" applyBorder="1" applyAlignment="1">
      <alignment horizontal="center"/>
    </xf>
    <xf numFmtId="0" fontId="42" fillId="0" borderId="0" xfId="0" applyFont="1" applyFill="1" applyBorder="1" applyAlignment="1">
      <alignment horizontal="center"/>
    </xf>
    <xf numFmtId="0" fontId="27" fillId="0" borderId="31" xfId="0" applyFont="1" applyBorder="1" applyAlignment="1">
      <alignment/>
    </xf>
    <xf numFmtId="0" fontId="23" fillId="0" borderId="43" xfId="0" applyFont="1" applyBorder="1" applyAlignment="1">
      <alignment/>
    </xf>
    <xf numFmtId="0" fontId="27" fillId="0" borderId="43" xfId="0" applyFont="1" applyBorder="1" applyAlignment="1">
      <alignment horizontal="left"/>
    </xf>
    <xf numFmtId="0" fontId="43" fillId="0" borderId="0" xfId="0" applyFont="1" applyFill="1" applyBorder="1" applyAlignment="1">
      <alignment/>
    </xf>
    <xf numFmtId="1" fontId="27" fillId="0" borderId="43" xfId="0" applyNumberFormat="1" applyFont="1" applyBorder="1" applyAlignment="1">
      <alignment/>
    </xf>
    <xf numFmtId="1" fontId="43" fillId="0" borderId="0" xfId="0" applyNumberFormat="1" applyFont="1" applyFill="1" applyBorder="1" applyAlignment="1">
      <alignment/>
    </xf>
    <xf numFmtId="0" fontId="44" fillId="0" borderId="43" xfId="0" applyFont="1" applyBorder="1" applyAlignment="1">
      <alignment/>
    </xf>
    <xf numFmtId="0" fontId="27" fillId="0" borderId="43" xfId="0" applyFont="1" applyBorder="1" applyAlignment="1">
      <alignment/>
    </xf>
    <xf numFmtId="0" fontId="26" fillId="0" borderId="0" xfId="0" applyFont="1" applyFill="1" applyBorder="1" applyAlignment="1">
      <alignment horizontal="left" wrapText="1"/>
    </xf>
    <xf numFmtId="0" fontId="23" fillId="0" borderId="0" xfId="0" applyFont="1" applyFill="1" applyBorder="1" applyAlignment="1">
      <alignment horizontal="left" wrapText="1"/>
    </xf>
    <xf numFmtId="0" fontId="14" fillId="0" borderId="43" xfId="0" applyFont="1" applyBorder="1" applyAlignment="1">
      <alignment/>
    </xf>
    <xf numFmtId="0" fontId="26" fillId="0" borderId="43" xfId="0" applyFont="1" applyBorder="1" applyAlignment="1">
      <alignment horizontal="center"/>
    </xf>
    <xf numFmtId="0" fontId="24" fillId="0" borderId="43" xfId="0" applyFont="1" applyBorder="1" applyAlignment="1">
      <alignment horizontal="left"/>
    </xf>
    <xf numFmtId="0" fontId="41" fillId="0" borderId="43" xfId="0" applyFont="1" applyBorder="1" applyAlignment="1">
      <alignment/>
    </xf>
    <xf numFmtId="0" fontId="26" fillId="0" borderId="43" xfId="0" applyFont="1" applyFill="1" applyBorder="1" applyAlignment="1">
      <alignment/>
    </xf>
    <xf numFmtId="0" fontId="20" fillId="0" borderId="49" xfId="0" applyFont="1" applyFill="1" applyBorder="1" applyAlignment="1">
      <alignment/>
    </xf>
    <xf numFmtId="0" fontId="17" fillId="0" borderId="29" xfId="0" applyFont="1" applyFill="1" applyBorder="1" applyAlignment="1">
      <alignment/>
    </xf>
    <xf numFmtId="0" fontId="0" fillId="0" borderId="29" xfId="0" applyFill="1" applyBorder="1" applyAlignment="1">
      <alignment/>
    </xf>
    <xf numFmtId="0" fontId="80" fillId="0" borderId="43" xfId="0" applyFont="1" applyFill="1" applyBorder="1" applyAlignment="1">
      <alignment/>
    </xf>
    <xf numFmtId="0" fontId="3" fillId="0" borderId="0" xfId="0" applyFont="1" applyFill="1" applyBorder="1" applyAlignment="1">
      <alignment/>
    </xf>
    <xf numFmtId="0" fontId="27" fillId="0" borderId="43" xfId="0" applyFont="1" applyFill="1" applyBorder="1" applyAlignment="1">
      <alignment horizontal="center"/>
    </xf>
    <xf numFmtId="0" fontId="27" fillId="0" borderId="43" xfId="0" applyFont="1" applyFill="1" applyBorder="1" applyAlignment="1">
      <alignment/>
    </xf>
    <xf numFmtId="0" fontId="25" fillId="0" borderId="43" xfId="0" applyFont="1" applyFill="1" applyBorder="1" applyAlignment="1">
      <alignment/>
    </xf>
    <xf numFmtId="0" fontId="44" fillId="0" borderId="43" xfId="0" applyFont="1" applyFill="1" applyBorder="1" applyAlignment="1">
      <alignment/>
    </xf>
    <xf numFmtId="0" fontId="0" fillId="0" borderId="50" xfId="0" applyBorder="1" applyAlignment="1">
      <alignment/>
    </xf>
    <xf numFmtId="0" fontId="27" fillId="0" borderId="33" xfId="0" applyFont="1" applyFill="1" applyBorder="1" applyAlignment="1">
      <alignment/>
    </xf>
    <xf numFmtId="165" fontId="27" fillId="0" borderId="0" xfId="0" applyNumberFormat="1" applyFont="1" applyFill="1" applyBorder="1" applyAlignment="1">
      <alignment horizontal="center"/>
    </xf>
    <xf numFmtId="0" fontId="27" fillId="0" borderId="51" xfId="0" applyFont="1" applyFill="1" applyBorder="1" applyAlignment="1">
      <alignment/>
    </xf>
    <xf numFmtId="0" fontId="27" fillId="0" borderId="29" xfId="0" applyFont="1" applyFill="1" applyBorder="1" applyAlignment="1">
      <alignment/>
    </xf>
    <xf numFmtId="4" fontId="27" fillId="0" borderId="31" xfId="0" applyNumberFormat="1" applyFont="1" applyFill="1" applyBorder="1" applyAlignment="1">
      <alignment horizontal="center"/>
    </xf>
    <xf numFmtId="0" fontId="20" fillId="0" borderId="28" xfId="0" applyFont="1" applyFill="1" applyBorder="1" applyAlignment="1">
      <alignment/>
    </xf>
    <xf numFmtId="0" fontId="17" fillId="0" borderId="21" xfId="0" applyFont="1" applyFill="1" applyBorder="1" applyAlignment="1">
      <alignment/>
    </xf>
    <xf numFmtId="0" fontId="8" fillId="0" borderId="29" xfId="0" applyFont="1" applyFill="1" applyBorder="1" applyAlignment="1">
      <alignment/>
    </xf>
    <xf numFmtId="0" fontId="8" fillId="0" borderId="30" xfId="0" applyFont="1" applyFill="1" applyBorder="1" applyAlignment="1">
      <alignment/>
    </xf>
    <xf numFmtId="0" fontId="6" fillId="0" borderId="32" xfId="0" applyFont="1" applyFill="1" applyBorder="1" applyAlignment="1">
      <alignment/>
    </xf>
    <xf numFmtId="0" fontId="0" fillId="0" borderId="31" xfId="0" applyFill="1" applyBorder="1" applyAlignment="1">
      <alignment/>
    </xf>
    <xf numFmtId="0" fontId="25" fillId="0" borderId="32" xfId="0" applyFont="1" applyFill="1" applyBorder="1" applyAlignment="1">
      <alignment horizontal="center"/>
    </xf>
    <xf numFmtId="3" fontId="25" fillId="0" borderId="31" xfId="0" applyNumberFormat="1" applyFont="1" applyFill="1" applyBorder="1" applyAlignment="1">
      <alignment horizontal="center"/>
    </xf>
    <xf numFmtId="0" fontId="27" fillId="0" borderId="32" xfId="0" applyFont="1" applyFill="1" applyBorder="1" applyAlignment="1">
      <alignment horizontal="center"/>
    </xf>
    <xf numFmtId="0" fontId="27" fillId="0" borderId="32" xfId="0" applyFont="1" applyFill="1" applyBorder="1" applyAlignment="1">
      <alignment wrapText="1"/>
    </xf>
    <xf numFmtId="4" fontId="23" fillId="0" borderId="31" xfId="0" applyNumberFormat="1" applyFont="1" applyFill="1" applyBorder="1" applyAlignment="1">
      <alignment horizontal="center"/>
    </xf>
    <xf numFmtId="0" fontId="27" fillId="0" borderId="32" xfId="0" applyFont="1" applyFill="1" applyBorder="1" applyAlignment="1">
      <alignment/>
    </xf>
    <xf numFmtId="3" fontId="23" fillId="0" borderId="31" xfId="0" applyNumberFormat="1" applyFont="1" applyFill="1" applyBorder="1" applyAlignment="1">
      <alignment horizontal="center"/>
    </xf>
    <xf numFmtId="0" fontId="25" fillId="0" borderId="32" xfId="0" applyFont="1" applyFill="1" applyBorder="1" applyAlignment="1">
      <alignment/>
    </xf>
    <xf numFmtId="0" fontId="23" fillId="0" borderId="31" xfId="0" applyFont="1" applyFill="1" applyBorder="1" applyAlignment="1">
      <alignment horizontal="center"/>
    </xf>
    <xf numFmtId="0" fontId="27" fillId="0" borderId="37" xfId="0" applyFont="1" applyFill="1" applyBorder="1" applyAlignment="1">
      <alignment/>
    </xf>
    <xf numFmtId="0" fontId="0" fillId="0" borderId="33" xfId="0" applyFill="1" applyBorder="1" applyAlignment="1">
      <alignment/>
    </xf>
    <xf numFmtId="3" fontId="27" fillId="0" borderId="33" xfId="0" applyNumberFormat="1" applyFont="1" applyFill="1" applyBorder="1" applyAlignment="1">
      <alignment horizontal="center"/>
    </xf>
    <xf numFmtId="3" fontId="27" fillId="0" borderId="40" xfId="0" applyNumberFormat="1" applyFont="1" applyFill="1" applyBorder="1" applyAlignment="1">
      <alignment/>
    </xf>
    <xf numFmtId="0" fontId="23" fillId="0" borderId="33" xfId="0" applyFont="1" applyFill="1" applyBorder="1" applyAlignment="1">
      <alignment/>
    </xf>
    <xf numFmtId="0" fontId="23" fillId="0" borderId="38" xfId="0" applyFont="1" applyFill="1" applyBorder="1" applyAlignment="1">
      <alignment/>
    </xf>
    <xf numFmtId="0" fontId="0" fillId="0" borderId="30" xfId="0" applyFill="1" applyBorder="1" applyAlignment="1">
      <alignment/>
    </xf>
    <xf numFmtId="0" fontId="3" fillId="0" borderId="31" xfId="0" applyFont="1" applyFill="1" applyBorder="1" applyAlignment="1">
      <alignment/>
    </xf>
    <xf numFmtId="0" fontId="23" fillId="0" borderId="31" xfId="0" applyFont="1" applyFill="1" applyBorder="1" applyAlignment="1">
      <alignment/>
    </xf>
    <xf numFmtId="0" fontId="27" fillId="0" borderId="31" xfId="0" applyNumberFormat="1" applyFont="1" applyFill="1" applyBorder="1" applyAlignment="1">
      <alignment/>
    </xf>
    <xf numFmtId="0" fontId="27" fillId="0" borderId="31" xfId="0" applyFont="1" applyFill="1" applyBorder="1" applyAlignment="1">
      <alignment/>
    </xf>
    <xf numFmtId="0" fontId="27" fillId="0" borderId="38" xfId="0" applyFont="1" applyFill="1" applyBorder="1" applyAlignment="1">
      <alignment/>
    </xf>
    <xf numFmtId="2" fontId="23" fillId="0" borderId="0" xfId="0" applyNumberFormat="1" applyFont="1" applyFill="1" applyBorder="1" applyAlignment="1">
      <alignment/>
    </xf>
    <xf numFmtId="2" fontId="23" fillId="0" borderId="31" xfId="0" applyNumberFormat="1" applyFont="1" applyFill="1" applyBorder="1" applyAlignment="1">
      <alignment/>
    </xf>
    <xf numFmtId="0" fontId="49" fillId="0" borderId="0" xfId="0" applyFont="1" applyFill="1" applyBorder="1" applyAlignment="1">
      <alignment/>
    </xf>
    <xf numFmtId="3" fontId="50" fillId="0" borderId="0" xfId="0" applyNumberFormat="1" applyFont="1" applyFill="1" applyBorder="1" applyAlignment="1">
      <alignment/>
    </xf>
    <xf numFmtId="0" fontId="85" fillId="0" borderId="0" xfId="0" applyFont="1" applyAlignment="1">
      <alignment/>
    </xf>
    <xf numFmtId="0" fontId="11" fillId="0" borderId="0" xfId="0" applyFont="1" applyBorder="1" applyAlignment="1">
      <alignment/>
    </xf>
    <xf numFmtId="0" fontId="26" fillId="0" borderId="0" xfId="0" applyFont="1" applyBorder="1" applyAlignment="1">
      <alignment horizontal="right" wrapText="1" indent="2"/>
    </xf>
    <xf numFmtId="2" fontId="26" fillId="0" borderId="0" xfId="0" applyNumberFormat="1" applyFont="1" applyBorder="1" applyAlignment="1">
      <alignment horizontal="right" wrapText="1" indent="2"/>
    </xf>
    <xf numFmtId="0" fontId="0" fillId="0" borderId="52" xfId="0" applyBorder="1" applyAlignment="1">
      <alignment/>
    </xf>
    <xf numFmtId="0" fontId="8" fillId="0" borderId="0" xfId="0" applyFont="1" applyAlignment="1">
      <alignment/>
    </xf>
    <xf numFmtId="0" fontId="7" fillId="0" borderId="0" xfId="0" applyFont="1" applyBorder="1" applyAlignment="1">
      <alignment/>
    </xf>
    <xf numFmtId="0" fontId="0" fillId="0" borderId="0" xfId="0" applyFont="1" applyFill="1" applyAlignment="1">
      <alignment/>
    </xf>
    <xf numFmtId="0" fontId="27" fillId="0" borderId="0" xfId="0" applyFont="1" applyFill="1" applyBorder="1" applyAlignment="1">
      <alignment/>
    </xf>
    <xf numFmtId="0" fontId="23" fillId="0" borderId="0" xfId="0" applyFont="1" applyBorder="1" applyAlignment="1">
      <alignment/>
    </xf>
    <xf numFmtId="3" fontId="27" fillId="0" borderId="0" xfId="0" applyNumberFormat="1" applyFont="1" applyFill="1" applyBorder="1" applyAlignment="1">
      <alignment/>
    </xf>
    <xf numFmtId="0" fontId="27" fillId="0" borderId="0" xfId="0" applyFont="1" applyFill="1" applyBorder="1" applyAlignment="1">
      <alignment horizontal="center"/>
    </xf>
    <xf numFmtId="3" fontId="27" fillId="0" borderId="0" xfId="0" applyNumberFormat="1" applyFont="1" applyFill="1" applyBorder="1" applyAlignment="1">
      <alignment horizontal="center"/>
    </xf>
    <xf numFmtId="0" fontId="27" fillId="0" borderId="0" xfId="0" applyFont="1" applyBorder="1" applyAlignment="1">
      <alignment horizontal="center"/>
    </xf>
    <xf numFmtId="3" fontId="27" fillId="0" borderId="0" xfId="0" applyNumberFormat="1" applyFont="1" applyBorder="1" applyAlignment="1">
      <alignment horizontal="center"/>
    </xf>
    <xf numFmtId="3" fontId="27" fillId="0" borderId="0" xfId="0" applyNumberFormat="1" applyFont="1" applyBorder="1" applyAlignment="1">
      <alignment horizontal="center"/>
    </xf>
    <xf numFmtId="0" fontId="3" fillId="0" borderId="0" xfId="0" applyFont="1" applyBorder="1" applyAlignment="1">
      <alignment/>
    </xf>
    <xf numFmtId="0" fontId="27" fillId="0" borderId="0" xfId="0" applyFont="1" applyBorder="1" applyAlignment="1">
      <alignment/>
    </xf>
    <xf numFmtId="0" fontId="27" fillId="0" borderId="0" xfId="0" applyNumberFormat="1" applyFont="1" applyBorder="1" applyAlignment="1">
      <alignment/>
    </xf>
    <xf numFmtId="3" fontId="27" fillId="0" borderId="0" xfId="0" applyNumberFormat="1" applyFont="1" applyBorder="1" applyAlignment="1">
      <alignment/>
    </xf>
    <xf numFmtId="0" fontId="8" fillId="0" borderId="43" xfId="0" applyFont="1" applyBorder="1" applyAlignment="1">
      <alignment/>
    </xf>
    <xf numFmtId="1" fontId="26" fillId="0" borderId="0" xfId="0" applyNumberFormat="1" applyFont="1" applyBorder="1" applyAlignment="1">
      <alignment horizontal="right" wrapText="1" indent="2"/>
    </xf>
    <xf numFmtId="0" fontId="27" fillId="0" borderId="33" xfId="0" applyFont="1" applyBorder="1" applyAlignment="1">
      <alignment/>
    </xf>
    <xf numFmtId="0" fontId="78" fillId="0" borderId="0" xfId="0" applyFont="1" applyBorder="1" applyAlignment="1">
      <alignment/>
    </xf>
    <xf numFmtId="0" fontId="23" fillId="0" borderId="0" xfId="0" applyFont="1" applyFill="1" applyAlignment="1">
      <alignment/>
    </xf>
    <xf numFmtId="0" fontId="7" fillId="0" borderId="29" xfId="0" applyFont="1" applyBorder="1" applyAlignment="1">
      <alignment/>
    </xf>
    <xf numFmtId="0" fontId="26" fillId="0" borderId="50" xfId="0" applyFont="1" applyFill="1" applyBorder="1" applyAlignment="1">
      <alignment/>
    </xf>
    <xf numFmtId="0" fontId="86" fillId="0" borderId="33" xfId="0" applyFont="1" applyFill="1" applyBorder="1" applyAlignment="1">
      <alignment/>
    </xf>
    <xf numFmtId="0" fontId="0" fillId="0" borderId="38" xfId="0" applyFill="1" applyBorder="1" applyAlignment="1">
      <alignment/>
    </xf>
    <xf numFmtId="2" fontId="23" fillId="0" borderId="0" xfId="0" applyNumberFormat="1" applyFont="1" applyFill="1" applyBorder="1" applyAlignment="1">
      <alignment horizontal="center"/>
    </xf>
    <xf numFmtId="2" fontId="23" fillId="0" borderId="0" xfId="0" applyNumberFormat="1" applyFont="1" applyBorder="1" applyAlignment="1">
      <alignment horizontal="center"/>
    </xf>
    <xf numFmtId="0" fontId="20" fillId="0" borderId="49" xfId="0" applyFont="1" applyFill="1" applyBorder="1" applyAlignment="1">
      <alignment/>
    </xf>
    <xf numFmtId="0" fontId="20" fillId="0" borderId="29" xfId="0" applyFont="1" applyFill="1" applyBorder="1" applyAlignment="1">
      <alignment/>
    </xf>
    <xf numFmtId="0" fontId="7" fillId="0" borderId="29" xfId="0" applyFont="1" applyFill="1" applyBorder="1" applyAlignment="1">
      <alignment/>
    </xf>
    <xf numFmtId="0" fontId="27" fillId="0" borderId="43" xfId="0" applyFont="1" applyFill="1" applyBorder="1" applyAlignment="1">
      <alignment/>
    </xf>
    <xf numFmtId="0" fontId="25" fillId="0" borderId="53" xfId="0" applyFont="1" applyFill="1" applyBorder="1" applyAlignment="1">
      <alignment horizontal="center"/>
    </xf>
    <xf numFmtId="0" fontId="25" fillId="0" borderId="0" xfId="0" applyFont="1" applyFill="1" applyBorder="1" applyAlignment="1">
      <alignment horizontal="center"/>
    </xf>
    <xf numFmtId="0" fontId="27" fillId="0" borderId="53" xfId="0" applyFont="1" applyFill="1" applyBorder="1" applyAlignment="1">
      <alignment horizontal="center"/>
    </xf>
    <xf numFmtId="8" fontId="27" fillId="0" borderId="0" xfId="0" applyNumberFormat="1" applyFont="1" applyFill="1" applyBorder="1" applyAlignment="1">
      <alignment/>
    </xf>
    <xf numFmtId="0" fontId="27" fillId="0" borderId="43" xfId="0" applyFont="1" applyBorder="1" applyAlignment="1">
      <alignment/>
    </xf>
    <xf numFmtId="0" fontId="27" fillId="0" borderId="53" xfId="0" applyFont="1" applyFill="1" applyBorder="1" applyAlignment="1">
      <alignment/>
    </xf>
    <xf numFmtId="165" fontId="27" fillId="0" borderId="0" xfId="0" applyNumberFormat="1" applyFont="1" applyFill="1" applyBorder="1" applyAlignment="1">
      <alignment horizontal="center"/>
    </xf>
    <xf numFmtId="165" fontId="27" fillId="0" borderId="0" xfId="0" applyNumberFormat="1" applyFont="1" applyBorder="1" applyAlignment="1">
      <alignment horizontal="center"/>
    </xf>
    <xf numFmtId="0" fontId="3" fillId="0" borderId="31" xfId="0" applyFont="1" applyBorder="1" applyAlignment="1">
      <alignment/>
    </xf>
    <xf numFmtId="0" fontId="25" fillId="0" borderId="43" xfId="0" applyFont="1" applyBorder="1" applyAlignment="1">
      <alignment/>
    </xf>
    <xf numFmtId="165" fontId="27" fillId="0" borderId="0" xfId="0" applyNumberFormat="1" applyFont="1" applyBorder="1" applyAlignment="1">
      <alignment horizontal="center"/>
    </xf>
    <xf numFmtId="2" fontId="27" fillId="0" borderId="0" xfId="0" applyNumberFormat="1" applyFont="1" applyBorder="1" applyAlignment="1">
      <alignment horizontal="center"/>
    </xf>
    <xf numFmtId="2" fontId="27" fillId="0" borderId="31" xfId="0" applyNumberFormat="1" applyFont="1" applyBorder="1" applyAlignment="1">
      <alignment horizontal="center"/>
    </xf>
    <xf numFmtId="0" fontId="44" fillId="0" borderId="43" xfId="0" applyFont="1" applyBorder="1" applyAlignment="1">
      <alignment/>
    </xf>
    <xf numFmtId="0" fontId="45" fillId="0" borderId="43" xfId="0" applyFont="1" applyBorder="1" applyAlignment="1">
      <alignment/>
    </xf>
    <xf numFmtId="0" fontId="78" fillId="0" borderId="50" xfId="0" applyFont="1" applyBorder="1" applyAlignment="1">
      <alignment/>
    </xf>
    <xf numFmtId="0" fontId="23" fillId="0" borderId="33" xfId="0" applyFont="1" applyBorder="1" applyAlignment="1">
      <alignment/>
    </xf>
    <xf numFmtId="0" fontId="3" fillId="0" borderId="38" xfId="0" applyFont="1" applyBorder="1" applyAlignment="1">
      <alignment/>
    </xf>
    <xf numFmtId="0" fontId="27" fillId="0" borderId="0" xfId="0" applyFont="1" applyFill="1" applyBorder="1" applyAlignment="1">
      <alignment/>
    </xf>
    <xf numFmtId="0" fontId="47" fillId="0" borderId="49" xfId="0" applyFont="1" applyFill="1" applyBorder="1" applyAlignment="1">
      <alignment/>
    </xf>
    <xf numFmtId="0" fontId="48" fillId="0" borderId="29" xfId="0" applyFont="1" applyFill="1" applyBorder="1" applyAlignment="1">
      <alignment horizontal="center"/>
    </xf>
    <xf numFmtId="3" fontId="48" fillId="0" borderId="29" xfId="0" applyNumberFormat="1" applyFont="1" applyFill="1" applyBorder="1" applyAlignment="1">
      <alignment horizontal="center"/>
    </xf>
    <xf numFmtId="165" fontId="48" fillId="0" borderId="29" xfId="0" applyNumberFormat="1" applyFont="1" applyFill="1" applyBorder="1" applyAlignment="1">
      <alignment horizontal="center"/>
    </xf>
    <xf numFmtId="0" fontId="7" fillId="0" borderId="30" xfId="0" applyFont="1" applyFill="1" applyBorder="1" applyAlignment="1">
      <alignment/>
    </xf>
    <xf numFmtId="0" fontId="49" fillId="0" borderId="43" xfId="0" applyFont="1" applyFill="1" applyBorder="1" applyAlignment="1">
      <alignment/>
    </xf>
    <xf numFmtId="0" fontId="49" fillId="0" borderId="31" xfId="0" applyFont="1" applyFill="1" applyBorder="1" applyAlignment="1">
      <alignment horizontal="center"/>
    </xf>
    <xf numFmtId="0" fontId="28" fillId="0" borderId="38" xfId="0" applyFont="1" applyFill="1" applyBorder="1" applyAlignment="1">
      <alignment horizontal="center"/>
    </xf>
    <xf numFmtId="0" fontId="49" fillId="0" borderId="50" xfId="0" applyFont="1" applyFill="1" applyBorder="1" applyAlignment="1">
      <alignment/>
    </xf>
    <xf numFmtId="3" fontId="73" fillId="0" borderId="33" xfId="53" applyNumberFormat="1" applyFill="1" applyBorder="1" applyAlignment="1">
      <alignment horizontal="center"/>
    </xf>
    <xf numFmtId="3" fontId="50" fillId="0" borderId="33" xfId="0" applyNumberFormat="1" applyFont="1" applyFill="1" applyBorder="1" applyAlignment="1">
      <alignment horizontal="center"/>
    </xf>
    <xf numFmtId="3" fontId="50" fillId="0" borderId="33" xfId="0" applyNumberFormat="1" applyFont="1" applyFill="1" applyBorder="1" applyAlignment="1">
      <alignment/>
    </xf>
    <xf numFmtId="3" fontId="50" fillId="0" borderId="38" xfId="0" applyNumberFormat="1" applyFont="1" applyFill="1" applyBorder="1" applyAlignment="1">
      <alignment horizontal="center"/>
    </xf>
    <xf numFmtId="0" fontId="47" fillId="0" borderId="54" xfId="0" applyFont="1" applyFill="1" applyBorder="1" applyAlignment="1">
      <alignment/>
    </xf>
    <xf numFmtId="0" fontId="48" fillId="0" borderId="55" xfId="0" applyFont="1" applyFill="1" applyBorder="1" applyAlignment="1">
      <alignment horizontal="center"/>
    </xf>
    <xf numFmtId="3" fontId="48" fillId="0" borderId="55" xfId="0" applyNumberFormat="1" applyFont="1" applyFill="1" applyBorder="1" applyAlignment="1">
      <alignment horizontal="center"/>
    </xf>
    <xf numFmtId="165" fontId="48" fillId="0" borderId="55" xfId="0" applyNumberFormat="1" applyFont="1" applyFill="1" applyBorder="1" applyAlignment="1">
      <alignment horizontal="center"/>
    </xf>
    <xf numFmtId="3" fontId="7" fillId="0" borderId="55" xfId="0" applyNumberFormat="1" applyFont="1" applyFill="1" applyBorder="1" applyAlignment="1">
      <alignment/>
    </xf>
    <xf numFmtId="0" fontId="51" fillId="0" borderId="53" xfId="0" applyFont="1" applyFill="1" applyBorder="1" applyAlignment="1">
      <alignment/>
    </xf>
    <xf numFmtId="3" fontId="7" fillId="0" borderId="0" xfId="0" applyNumberFormat="1" applyFont="1" applyFill="1" applyBorder="1" applyAlignment="1">
      <alignment/>
    </xf>
    <xf numFmtId="0" fontId="49" fillId="0" borderId="53" xfId="0" applyFont="1" applyFill="1" applyBorder="1" applyAlignment="1">
      <alignment/>
    </xf>
    <xf numFmtId="3" fontId="50" fillId="0" borderId="31" xfId="0" applyNumberFormat="1" applyFont="1" applyFill="1" applyBorder="1" applyAlignment="1">
      <alignment horizontal="center"/>
    </xf>
    <xf numFmtId="0" fontId="23" fillId="0" borderId="33" xfId="0" applyFont="1" applyFill="1" applyBorder="1" applyAlignment="1">
      <alignment/>
    </xf>
    <xf numFmtId="3" fontId="50" fillId="0" borderId="29" xfId="0" applyNumberFormat="1" applyFont="1" applyFill="1" applyBorder="1" applyAlignment="1">
      <alignment horizontal="center"/>
    </xf>
    <xf numFmtId="0" fontId="31" fillId="0" borderId="47" xfId="0" applyFont="1" applyBorder="1" applyAlignment="1">
      <alignment horizontal="center" vertical="center" wrapText="1"/>
    </xf>
    <xf numFmtId="0" fontId="0" fillId="0" borderId="0" xfId="0" applyBorder="1" applyAlignment="1">
      <alignment horizontal="center"/>
    </xf>
    <xf numFmtId="0" fontId="0" fillId="0" borderId="33" xfId="0" applyBorder="1" applyAlignment="1">
      <alignment wrapText="1"/>
    </xf>
    <xf numFmtId="0" fontId="0" fillId="0" borderId="56" xfId="0" applyBorder="1" applyAlignment="1">
      <alignment wrapText="1"/>
    </xf>
    <xf numFmtId="0" fontId="8" fillId="0" borderId="0" xfId="0" applyFont="1" applyBorder="1" applyAlignment="1">
      <alignment/>
    </xf>
    <xf numFmtId="0" fontId="76" fillId="20" borderId="57" xfId="0" applyFont="1" applyFill="1" applyBorder="1" applyAlignment="1">
      <alignment wrapText="1"/>
    </xf>
    <xf numFmtId="0" fontId="77" fillId="20" borderId="58" xfId="0" applyFont="1" applyFill="1" applyBorder="1" applyAlignment="1">
      <alignment wrapText="1"/>
    </xf>
    <xf numFmtId="0" fontId="78" fillId="0" borderId="27" xfId="0" applyFont="1" applyBorder="1" applyAlignment="1">
      <alignment vertical="top" wrapText="1"/>
    </xf>
    <xf numFmtId="0" fontId="78" fillId="0" borderId="59" xfId="0" applyFont="1" applyBorder="1" applyAlignment="1">
      <alignment vertical="top" wrapText="1"/>
    </xf>
    <xf numFmtId="3" fontId="27" fillId="0" borderId="60" xfId="0" applyNumberFormat="1" applyFont="1" applyBorder="1" applyAlignment="1">
      <alignment wrapText="1"/>
    </xf>
    <xf numFmtId="3" fontId="31" fillId="0" borderId="47" xfId="0" applyNumberFormat="1" applyFont="1" applyFill="1" applyBorder="1" applyAlignment="1">
      <alignment horizontal="center" wrapText="1"/>
    </xf>
    <xf numFmtId="0" fontId="0" fillId="0" borderId="61" xfId="0" applyBorder="1" applyAlignment="1">
      <alignment/>
    </xf>
    <xf numFmtId="0" fontId="0" fillId="0" borderId="47" xfId="0" applyBorder="1" applyAlignment="1">
      <alignment/>
    </xf>
    <xf numFmtId="0" fontId="0" fillId="0" borderId="62" xfId="0" applyBorder="1" applyAlignment="1">
      <alignment/>
    </xf>
    <xf numFmtId="0" fontId="33" fillId="0" borderId="63" xfId="0" applyFont="1" applyBorder="1" applyAlignment="1">
      <alignment wrapText="1"/>
    </xf>
    <xf numFmtId="1" fontId="31" fillId="0" borderId="47" xfId="0" applyNumberFormat="1" applyFont="1" applyFill="1" applyBorder="1" applyAlignment="1">
      <alignment horizontal="center" wrapText="1"/>
    </xf>
    <xf numFmtId="0" fontId="31" fillId="0" borderId="63" xfId="0" applyFont="1" applyBorder="1" applyAlignment="1">
      <alignment wrapText="1"/>
    </xf>
    <xf numFmtId="0" fontId="31" fillId="0" borderId="63" xfId="0" applyFont="1" applyBorder="1" applyAlignment="1">
      <alignment wrapText="1"/>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wrapText="1"/>
    </xf>
    <xf numFmtId="1" fontId="26" fillId="0" borderId="0" xfId="0" applyNumberFormat="1" applyFont="1" applyBorder="1" applyAlignment="1">
      <alignment horizontal="right" wrapText="1" indent="3"/>
    </xf>
    <xf numFmtId="1" fontId="31" fillId="0" borderId="56" xfId="0" applyNumberFormat="1" applyFont="1" applyBorder="1" applyAlignment="1">
      <alignment horizontal="center" vertical="center" wrapText="1"/>
    </xf>
    <xf numFmtId="0" fontId="82" fillId="0" borderId="67" xfId="0" applyFont="1" applyBorder="1" applyAlignment="1">
      <alignment wrapText="1"/>
    </xf>
    <xf numFmtId="0" fontId="84" fillId="0" borderId="60" xfId="0" applyFont="1" applyBorder="1" applyAlignment="1">
      <alignment horizontal="center" wrapText="1"/>
    </xf>
    <xf numFmtId="1" fontId="26" fillId="0" borderId="0" xfId="0" applyNumberFormat="1" applyFont="1" applyBorder="1" applyAlignment="1">
      <alignment horizontal="right" wrapText="1" indent="5"/>
    </xf>
    <xf numFmtId="2" fontId="26" fillId="0" borderId="0" xfId="0" applyNumberFormat="1" applyFont="1" applyBorder="1" applyAlignment="1">
      <alignment horizontal="right" wrapText="1" indent="3"/>
    </xf>
    <xf numFmtId="0" fontId="26" fillId="0" borderId="0" xfId="0"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26" fillId="0" borderId="0" xfId="0" applyFont="1" applyFill="1" applyAlignment="1">
      <alignment/>
    </xf>
    <xf numFmtId="1" fontId="27" fillId="0" borderId="0" xfId="0" applyNumberFormat="1" applyFont="1" applyFill="1" applyBorder="1" applyAlignment="1">
      <alignment horizontal="right" indent="4"/>
    </xf>
    <xf numFmtId="1" fontId="27" fillId="0" borderId="0" xfId="0" applyNumberFormat="1" applyFont="1" applyFill="1" applyBorder="1" applyAlignment="1">
      <alignment/>
    </xf>
    <xf numFmtId="0" fontId="25" fillId="0" borderId="0" xfId="0" applyFont="1" applyFill="1" applyBorder="1" applyAlignment="1">
      <alignment horizontal="center"/>
    </xf>
    <xf numFmtId="0" fontId="27" fillId="0" borderId="0" xfId="0" applyFont="1" applyBorder="1" applyAlignment="1">
      <alignment horizontal="center"/>
    </xf>
    <xf numFmtId="1" fontId="27" fillId="0" borderId="0" xfId="0" applyNumberFormat="1" applyFont="1" applyBorder="1" applyAlignment="1">
      <alignment horizontal="center"/>
    </xf>
    <xf numFmtId="0" fontId="23" fillId="0" borderId="0" xfId="0" applyFont="1" applyBorder="1" applyAlignment="1">
      <alignment horizontal="center"/>
    </xf>
    <xf numFmtId="8" fontId="27" fillId="0" borderId="0" xfId="0" applyNumberFormat="1" applyFont="1" applyBorder="1" applyAlignment="1">
      <alignment horizontal="center"/>
    </xf>
    <xf numFmtId="0" fontId="48" fillId="0" borderId="0" xfId="0" applyFont="1" applyFill="1" applyBorder="1" applyAlignment="1">
      <alignment/>
    </xf>
    <xf numFmtId="0" fontId="83" fillId="0" borderId="0" xfId="0" applyFont="1" applyFill="1" applyBorder="1" applyAlignment="1">
      <alignment wrapText="1"/>
    </xf>
    <xf numFmtId="0" fontId="83" fillId="0" borderId="47" xfId="0" applyFont="1" applyFill="1" applyBorder="1" applyAlignment="1">
      <alignment horizontal="center" wrapText="1"/>
    </xf>
    <xf numFmtId="0" fontId="83" fillId="0" borderId="47" xfId="0" applyNumberFormat="1" applyFont="1" applyFill="1" applyBorder="1" applyAlignment="1">
      <alignment horizontal="center" wrapText="1"/>
    </xf>
    <xf numFmtId="1" fontId="27" fillId="0" borderId="0" xfId="0" applyNumberFormat="1" applyFont="1" applyFill="1" applyBorder="1" applyAlignment="1">
      <alignment horizontal="left" indent="3"/>
    </xf>
    <xf numFmtId="0" fontId="0" fillId="0" borderId="29" xfId="0" applyFont="1" applyBorder="1" applyAlignment="1">
      <alignment/>
    </xf>
    <xf numFmtId="0" fontId="26" fillId="0" borderId="43" xfId="0" applyFont="1" applyFill="1" applyBorder="1" applyAlignment="1">
      <alignment/>
    </xf>
    <xf numFmtId="0" fontId="23" fillId="0" borderId="31" xfId="0" applyFont="1" applyFill="1" applyBorder="1" applyAlignment="1">
      <alignment/>
    </xf>
    <xf numFmtId="0" fontId="23" fillId="0" borderId="33" xfId="0" applyFont="1" applyFill="1" applyBorder="1" applyAlignment="1">
      <alignment wrapText="1"/>
    </xf>
    <xf numFmtId="0" fontId="23" fillId="0" borderId="33" xfId="0" applyFont="1" applyFill="1" applyBorder="1" applyAlignment="1">
      <alignment/>
    </xf>
    <xf numFmtId="0" fontId="23" fillId="0" borderId="38" xfId="0" applyFont="1" applyFill="1" applyBorder="1" applyAlignment="1">
      <alignment/>
    </xf>
    <xf numFmtId="0" fontId="7" fillId="0" borderId="43" xfId="0" applyFont="1" applyFill="1" applyBorder="1" applyAlignment="1">
      <alignment/>
    </xf>
    <xf numFmtId="0" fontId="25" fillId="0" borderId="43" xfId="0" applyFont="1" applyFill="1" applyBorder="1" applyAlignment="1">
      <alignment horizontal="center"/>
    </xf>
    <xf numFmtId="0" fontId="23" fillId="0" borderId="43" xfId="0" applyFont="1" applyFill="1" applyBorder="1" applyAlignment="1">
      <alignment/>
    </xf>
    <xf numFmtId="0" fontId="27" fillId="0" borderId="43" xfId="0" applyFont="1" applyFill="1" applyBorder="1" applyAlignment="1">
      <alignment horizontal="left"/>
    </xf>
    <xf numFmtId="1" fontId="27" fillId="0" borderId="43" xfId="0" applyNumberFormat="1" applyFont="1" applyFill="1" applyBorder="1" applyAlignment="1">
      <alignment/>
    </xf>
    <xf numFmtId="0" fontId="27" fillId="0" borderId="50" xfId="0" applyFont="1" applyBorder="1" applyAlignment="1">
      <alignment/>
    </xf>
    <xf numFmtId="0" fontId="23" fillId="0" borderId="33" xfId="0" applyFont="1" applyBorder="1" applyAlignment="1">
      <alignment/>
    </xf>
    <xf numFmtId="0" fontId="23" fillId="0" borderId="38" xfId="0" applyFont="1" applyBorder="1" applyAlignment="1">
      <alignment/>
    </xf>
    <xf numFmtId="0" fontId="23" fillId="0" borderId="0" xfId="0" applyFont="1" applyBorder="1" applyAlignment="1">
      <alignment horizontal="center"/>
    </xf>
    <xf numFmtId="3" fontId="25" fillId="0" borderId="0" xfId="0" applyNumberFormat="1" applyFont="1" applyBorder="1" applyAlignment="1">
      <alignment horizontal="center"/>
    </xf>
    <xf numFmtId="1" fontId="26" fillId="0" borderId="0" xfId="0" applyNumberFormat="1" applyFont="1" applyFill="1" applyBorder="1" applyAlignment="1">
      <alignment/>
    </xf>
    <xf numFmtId="0" fontId="26" fillId="0" borderId="50" xfId="0" applyFont="1" applyFill="1" applyBorder="1" applyAlignment="1">
      <alignment/>
    </xf>
    <xf numFmtId="0" fontId="20" fillId="0" borderId="29" xfId="0" applyFont="1" applyFill="1" applyBorder="1" applyAlignment="1">
      <alignment/>
    </xf>
    <xf numFmtId="0" fontId="23" fillId="0" borderId="43" xfId="0" applyFont="1" applyBorder="1" applyAlignment="1">
      <alignment/>
    </xf>
    <xf numFmtId="0" fontId="25" fillId="0" borderId="43" xfId="0" applyFont="1" applyBorder="1" applyAlignment="1">
      <alignment/>
    </xf>
    <xf numFmtId="0" fontId="78" fillId="0" borderId="50" xfId="0" applyFont="1" applyFill="1" applyBorder="1" applyAlignment="1">
      <alignment/>
    </xf>
    <xf numFmtId="0" fontId="47" fillId="0" borderId="0" xfId="0" applyFont="1" applyFill="1" applyBorder="1" applyAlignment="1">
      <alignment/>
    </xf>
    <xf numFmtId="0" fontId="23" fillId="0" borderId="0" xfId="0" applyFont="1" applyAlignment="1">
      <alignment/>
    </xf>
    <xf numFmtId="0" fontId="88" fillId="0" borderId="27" xfId="0" applyFont="1" applyFill="1" applyBorder="1" applyAlignment="1">
      <alignment wrapText="1"/>
    </xf>
    <xf numFmtId="1" fontId="83" fillId="0" borderId="47" xfId="0" applyNumberFormat="1" applyFont="1" applyFill="1" applyBorder="1" applyAlignment="1">
      <alignment horizontal="center" wrapText="1"/>
    </xf>
    <xf numFmtId="0" fontId="83" fillId="0" borderId="27" xfId="0" applyFont="1" applyFill="1" applyBorder="1" applyAlignment="1">
      <alignment wrapText="1"/>
    </xf>
    <xf numFmtId="0" fontId="83" fillId="0" borderId="27" xfId="0" applyFont="1" applyBorder="1" applyAlignment="1">
      <alignment wrapText="1"/>
    </xf>
    <xf numFmtId="0" fontId="0" fillId="0" borderId="27" xfId="0" applyBorder="1" applyAlignment="1">
      <alignment/>
    </xf>
    <xf numFmtId="0" fontId="0" fillId="0" borderId="67" xfId="0" applyBorder="1" applyAlignment="1">
      <alignment/>
    </xf>
    <xf numFmtId="0" fontId="23" fillId="0" borderId="0" xfId="0" applyFont="1" applyFill="1" applyBorder="1" applyAlignment="1">
      <alignment wrapText="1"/>
    </xf>
    <xf numFmtId="0" fontId="82" fillId="0" borderId="0" xfId="0" applyFont="1" applyFill="1" applyBorder="1" applyAlignment="1">
      <alignment wrapText="1"/>
    </xf>
    <xf numFmtId="0" fontId="0" fillId="0" borderId="68" xfId="0" applyBorder="1" applyAlignment="1">
      <alignment/>
    </xf>
    <xf numFmtId="0" fontId="0" fillId="0" borderId="69" xfId="0" applyBorder="1" applyAlignment="1">
      <alignment/>
    </xf>
    <xf numFmtId="0" fontId="78" fillId="0" borderId="33" xfId="0" applyFont="1" applyBorder="1" applyAlignment="1">
      <alignment/>
    </xf>
    <xf numFmtId="0" fontId="48" fillId="0" borderId="33" xfId="0" applyFont="1" applyFill="1" applyBorder="1" applyAlignment="1">
      <alignment horizontal="center"/>
    </xf>
    <xf numFmtId="3" fontId="48" fillId="0" borderId="33" xfId="0" applyNumberFormat="1" applyFont="1" applyFill="1" applyBorder="1" applyAlignment="1">
      <alignment horizontal="center"/>
    </xf>
    <xf numFmtId="165" fontId="48" fillId="0" borderId="33" xfId="0" applyNumberFormat="1" applyFont="1" applyFill="1" applyBorder="1" applyAlignment="1">
      <alignment horizontal="center"/>
    </xf>
    <xf numFmtId="0" fontId="7" fillId="0" borderId="33" xfId="0" applyFont="1" applyFill="1" applyBorder="1" applyAlignment="1">
      <alignment/>
    </xf>
    <xf numFmtId="0" fontId="28" fillId="0" borderId="0" xfId="0" applyFont="1" applyFill="1" applyBorder="1" applyAlignment="1">
      <alignment horizontal="center"/>
    </xf>
    <xf numFmtId="0" fontId="28" fillId="0" borderId="31" xfId="0" applyFont="1" applyFill="1" applyBorder="1" applyAlignment="1">
      <alignment horizontal="center"/>
    </xf>
    <xf numFmtId="0" fontId="49" fillId="0" borderId="29" xfId="0" applyFont="1" applyFill="1" applyBorder="1" applyAlignment="1">
      <alignment horizontal="center"/>
    </xf>
    <xf numFmtId="0" fontId="49" fillId="0" borderId="50" xfId="0" applyFont="1" applyFill="1" applyBorder="1" applyAlignment="1">
      <alignment vertical="center"/>
    </xf>
    <xf numFmtId="3" fontId="50" fillId="0" borderId="0" xfId="0" applyNumberFormat="1" applyFont="1" applyFill="1" applyBorder="1" applyAlignment="1">
      <alignment horizontal="center" vertical="center"/>
    </xf>
    <xf numFmtId="3" fontId="50" fillId="0" borderId="31" xfId="0" applyNumberFormat="1" applyFont="1" applyFill="1" applyBorder="1" applyAlignment="1">
      <alignment horizontal="center" vertical="center"/>
    </xf>
    <xf numFmtId="3" fontId="73" fillId="0" borderId="33" xfId="53" applyNumberFormat="1" applyFill="1" applyBorder="1" applyAlignment="1">
      <alignment horizontal="center" vertical="center"/>
    </xf>
    <xf numFmtId="3" fontId="50" fillId="0" borderId="33" xfId="0" applyNumberFormat="1" applyFont="1" applyFill="1" applyBorder="1" applyAlignment="1">
      <alignment horizontal="center" vertical="center"/>
    </xf>
    <xf numFmtId="3" fontId="50" fillId="0" borderId="33" xfId="0" applyNumberFormat="1" applyFont="1" applyFill="1" applyBorder="1" applyAlignment="1">
      <alignment vertical="center"/>
    </xf>
    <xf numFmtId="3" fontId="50" fillId="0" borderId="38" xfId="0" applyNumberFormat="1" applyFont="1" applyFill="1" applyBorder="1" applyAlignment="1">
      <alignment horizontal="center" vertical="center"/>
    </xf>
    <xf numFmtId="3" fontId="27" fillId="0" borderId="31" xfId="0" applyNumberFormat="1" applyFont="1" applyFill="1" applyBorder="1" applyAlignment="1">
      <alignment horizontal="center"/>
    </xf>
    <xf numFmtId="0" fontId="82" fillId="0" borderId="70" xfId="0" applyFont="1" applyBorder="1" applyAlignment="1">
      <alignment wrapText="1"/>
    </xf>
    <xf numFmtId="0" fontId="84" fillId="0" borderId="24" xfId="0" applyFont="1" applyBorder="1" applyAlignment="1">
      <alignment horizontal="center" wrapText="1"/>
    </xf>
    <xf numFmtId="0" fontId="7" fillId="0" borderId="71" xfId="0" applyFont="1" applyFill="1" applyBorder="1" applyAlignment="1">
      <alignment/>
    </xf>
    <xf numFmtId="0" fontId="47" fillId="0" borderId="28" xfId="0" applyFont="1" applyFill="1" applyBorder="1" applyAlignment="1">
      <alignment/>
    </xf>
    <xf numFmtId="0" fontId="48" fillId="0" borderId="21" xfId="0" applyFont="1" applyFill="1" applyBorder="1" applyAlignment="1">
      <alignment horizontal="center"/>
    </xf>
    <xf numFmtId="3" fontId="48" fillId="0" borderId="21" xfId="0" applyNumberFormat="1" applyFont="1" applyFill="1" applyBorder="1" applyAlignment="1">
      <alignment horizontal="center"/>
    </xf>
    <xf numFmtId="165" fontId="48" fillId="0" borderId="21" xfId="0" applyNumberFormat="1" applyFont="1" applyFill="1" applyBorder="1" applyAlignment="1">
      <alignment horizontal="center"/>
    </xf>
    <xf numFmtId="3" fontId="7" fillId="0" borderId="39" xfId="0" applyNumberFormat="1" applyFont="1" applyFill="1" applyBorder="1" applyAlignment="1">
      <alignment/>
    </xf>
    <xf numFmtId="0" fontId="51" fillId="0" borderId="32" xfId="0" applyFont="1" applyFill="1" applyBorder="1" applyAlignment="1">
      <alignment/>
    </xf>
    <xf numFmtId="0" fontId="49" fillId="0" borderId="32" xfId="0" applyFont="1" applyFill="1" applyBorder="1" applyAlignment="1">
      <alignment/>
    </xf>
    <xf numFmtId="0" fontId="27" fillId="0" borderId="37" xfId="0" applyFont="1" applyFill="1" applyBorder="1" applyAlignment="1">
      <alignment/>
    </xf>
    <xf numFmtId="0" fontId="27" fillId="0" borderId="14" xfId="0" applyFont="1" applyFill="1" applyBorder="1" applyAlignment="1">
      <alignment/>
    </xf>
    <xf numFmtId="3" fontId="50" fillId="0" borderId="14" xfId="0" applyNumberFormat="1" applyFont="1" applyFill="1" applyBorder="1" applyAlignment="1">
      <alignment horizontal="center"/>
    </xf>
    <xf numFmtId="0" fontId="27" fillId="0" borderId="40" xfId="0" applyFont="1" applyFill="1" applyBorder="1" applyAlignment="1">
      <alignment/>
    </xf>
    <xf numFmtId="165" fontId="75" fillId="0" borderId="31" xfId="0" applyNumberFormat="1" applyFont="1" applyFill="1" applyBorder="1" applyAlignment="1">
      <alignment horizontal="center"/>
    </xf>
    <xf numFmtId="0" fontId="27" fillId="0" borderId="0" xfId="0" applyFont="1" applyFill="1" applyBorder="1" applyAlignment="1">
      <alignment/>
    </xf>
    <xf numFmtId="3" fontId="50" fillId="0" borderId="0" xfId="0" applyNumberFormat="1" applyFont="1" applyFill="1" applyBorder="1" applyAlignment="1">
      <alignment horizontal="center"/>
    </xf>
    <xf numFmtId="0" fontId="27" fillId="0" borderId="0" xfId="0" applyFont="1" applyFill="1" applyBorder="1" applyAlignment="1">
      <alignment/>
    </xf>
    <xf numFmtId="165" fontId="50" fillId="0" borderId="31" xfId="0" applyNumberFormat="1" applyFont="1" applyFill="1" applyBorder="1" applyAlignment="1">
      <alignment horizontal="center"/>
    </xf>
    <xf numFmtId="0" fontId="27" fillId="0" borderId="72" xfId="0" applyFont="1" applyFill="1" applyBorder="1" applyAlignment="1">
      <alignment/>
    </xf>
    <xf numFmtId="0" fontId="4" fillId="0" borderId="43" xfId="0" applyFont="1" applyBorder="1" applyAlignment="1">
      <alignment/>
    </xf>
    <xf numFmtId="0" fontId="23" fillId="0" borderId="31" xfId="0" applyFont="1" applyFill="1" applyBorder="1" applyAlignment="1">
      <alignment/>
    </xf>
    <xf numFmtId="0" fontId="27" fillId="0" borderId="32" xfId="0" applyFont="1" applyFill="1" applyBorder="1" applyAlignment="1">
      <alignment/>
    </xf>
    <xf numFmtId="0" fontId="44" fillId="0" borderId="32" xfId="0" applyFont="1" applyFill="1" applyBorder="1" applyAlignment="1">
      <alignment/>
    </xf>
    <xf numFmtId="0" fontId="26" fillId="0" borderId="0" xfId="0" applyFont="1" applyBorder="1" applyAlignment="1">
      <alignment horizontal="right" wrapText="1"/>
    </xf>
    <xf numFmtId="1" fontId="8" fillId="0" borderId="0" xfId="0" applyNumberFormat="1" applyFont="1" applyBorder="1" applyAlignment="1">
      <alignment wrapText="1"/>
    </xf>
    <xf numFmtId="1" fontId="27" fillId="0" borderId="0" xfId="0" applyNumberFormat="1" applyFont="1" applyBorder="1" applyAlignment="1">
      <alignment horizontal="right" indent="5"/>
    </xf>
    <xf numFmtId="0" fontId="0" fillId="0" borderId="0" xfId="0" applyFont="1" applyFill="1" applyAlignment="1">
      <alignment/>
    </xf>
    <xf numFmtId="0" fontId="25" fillId="0" borderId="0" xfId="0" applyFont="1" applyFill="1" applyBorder="1" applyAlignment="1">
      <alignment/>
    </xf>
    <xf numFmtId="174" fontId="27" fillId="0" borderId="0" xfId="0" applyNumberFormat="1" applyFont="1" applyFill="1" applyBorder="1" applyAlignment="1">
      <alignment horizontal="center"/>
    </xf>
    <xf numFmtId="2" fontId="27" fillId="0" borderId="0" xfId="0" applyNumberFormat="1" applyFont="1" applyFill="1" applyBorder="1" applyAlignment="1">
      <alignment horizontal="center"/>
    </xf>
    <xf numFmtId="2" fontId="24" fillId="0" borderId="0" xfId="0" applyNumberFormat="1" applyFont="1" applyFill="1" applyBorder="1" applyAlignment="1">
      <alignment horizontal="center"/>
    </xf>
    <xf numFmtId="0" fontId="89" fillId="0" borderId="43" xfId="0" applyFont="1" applyBorder="1" applyAlignment="1">
      <alignment wrapText="1"/>
    </xf>
    <xf numFmtId="0" fontId="8" fillId="0" borderId="43" xfId="0" applyFont="1" applyBorder="1" applyAlignment="1">
      <alignment/>
    </xf>
    <xf numFmtId="0" fontId="0" fillId="0" borderId="33" xfId="0" applyFill="1" applyBorder="1" applyAlignment="1">
      <alignment wrapText="1"/>
    </xf>
    <xf numFmtId="0" fontId="0" fillId="0" borderId="0" xfId="0" applyFont="1" applyBorder="1" applyAlignment="1">
      <alignment/>
    </xf>
    <xf numFmtId="0" fontId="0" fillId="0" borderId="31" xfId="0" applyFont="1"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3" fontId="7" fillId="0" borderId="0" xfId="0" applyNumberFormat="1" applyFont="1" applyBorder="1" applyAlignment="1">
      <alignment horizontal="center"/>
    </xf>
    <xf numFmtId="3" fontId="6" fillId="0" borderId="0" xfId="0" applyNumberFormat="1" applyFont="1" applyBorder="1" applyAlignment="1">
      <alignment horizontal="center"/>
    </xf>
    <xf numFmtId="0" fontId="0" fillId="0" borderId="33" xfId="0" applyFont="1" applyBorder="1" applyAlignment="1">
      <alignment/>
    </xf>
    <xf numFmtId="0" fontId="0" fillId="0" borderId="38" xfId="0" applyFont="1" applyBorder="1" applyAlignment="1">
      <alignment/>
    </xf>
    <xf numFmtId="175" fontId="27" fillId="0" borderId="0" xfId="0" applyNumberFormat="1" applyFont="1" applyFill="1" applyBorder="1" applyAlignment="1">
      <alignment horizontal="center"/>
    </xf>
    <xf numFmtId="0" fontId="27" fillId="0" borderId="43" xfId="0" applyFont="1" applyFill="1" applyBorder="1" applyAlignment="1">
      <alignment/>
    </xf>
    <xf numFmtId="0" fontId="50" fillId="0" borderId="43" xfId="0" applyFont="1" applyFill="1" applyBorder="1" applyAlignment="1">
      <alignment/>
    </xf>
    <xf numFmtId="0" fontId="91" fillId="0" borderId="73" xfId="0" applyFont="1" applyFill="1" applyBorder="1" applyAlignment="1">
      <alignment/>
    </xf>
    <xf numFmtId="0" fontId="0" fillId="0" borderId="74" xfId="0" applyFont="1" applyBorder="1" applyAlignment="1">
      <alignment/>
    </xf>
    <xf numFmtId="0" fontId="0" fillId="0" borderId="75" xfId="0" applyFont="1" applyBorder="1" applyAlignment="1">
      <alignment/>
    </xf>
    <xf numFmtId="0" fontId="51" fillId="0" borderId="48" xfId="0" applyFont="1" applyFill="1" applyBorder="1" applyAlignment="1">
      <alignment horizontal="center"/>
    </xf>
    <xf numFmtId="0" fontId="51" fillId="0" borderId="52" xfId="0" applyFont="1" applyFill="1" applyBorder="1" applyAlignment="1">
      <alignment horizontal="center"/>
    </xf>
    <xf numFmtId="0" fontId="51" fillId="0" borderId="0" xfId="0" applyFont="1" applyFill="1" applyBorder="1" applyAlignment="1">
      <alignment horizontal="center"/>
    </xf>
    <xf numFmtId="3" fontId="51" fillId="0" borderId="48" xfId="0" applyNumberFormat="1" applyFont="1" applyFill="1" applyBorder="1" applyAlignment="1">
      <alignment horizontal="center"/>
    </xf>
    <xf numFmtId="3" fontId="51" fillId="0" borderId="0" xfId="0" applyNumberFormat="1" applyFont="1" applyFill="1" applyBorder="1" applyAlignment="1">
      <alignment horizontal="center"/>
    </xf>
    <xf numFmtId="0" fontId="51" fillId="0" borderId="76" xfId="0" applyFont="1" applyFill="1" applyBorder="1" applyAlignment="1">
      <alignment horizontal="center"/>
    </xf>
    <xf numFmtId="0" fontId="0" fillId="0" borderId="77" xfId="0" applyFont="1" applyBorder="1" applyAlignment="1">
      <alignment/>
    </xf>
    <xf numFmtId="0" fontId="51" fillId="0" borderId="78" xfId="0" applyFont="1" applyFill="1" applyBorder="1" applyAlignment="1">
      <alignment horizontal="center"/>
    </xf>
    <xf numFmtId="0" fontId="51" fillId="0" borderId="33" xfId="0" applyFont="1" applyFill="1" applyBorder="1" applyAlignment="1">
      <alignment horizontal="center"/>
    </xf>
    <xf numFmtId="3" fontId="51" fillId="0" borderId="78" xfId="0" applyNumberFormat="1" applyFont="1" applyFill="1" applyBorder="1" applyAlignment="1">
      <alignment horizontal="center"/>
    </xf>
    <xf numFmtId="3" fontId="51" fillId="0" borderId="79" xfId="0" applyNumberFormat="1" applyFont="1" applyFill="1" applyBorder="1" applyAlignment="1">
      <alignment horizontal="center"/>
    </xf>
    <xf numFmtId="0" fontId="0" fillId="0" borderId="80" xfId="0" applyFont="1" applyBorder="1" applyAlignment="1">
      <alignment/>
    </xf>
    <xf numFmtId="3" fontId="0" fillId="0" borderId="81" xfId="0" applyNumberFormat="1" applyFont="1" applyFill="1" applyBorder="1" applyAlignment="1">
      <alignment horizontal="right" indent="2"/>
    </xf>
    <xf numFmtId="3" fontId="0" fillId="0" borderId="82" xfId="0" applyNumberFormat="1" applyFont="1" applyBorder="1" applyAlignment="1">
      <alignment horizontal="right" indent="2"/>
    </xf>
    <xf numFmtId="3" fontId="0" fillId="0" borderId="83" xfId="0" applyNumberFormat="1" applyFont="1" applyBorder="1" applyAlignment="1">
      <alignment horizontal="right" indent="2"/>
    </xf>
    <xf numFmtId="3" fontId="0" fillId="0" borderId="84" xfId="0" applyNumberFormat="1" applyFont="1" applyFill="1" applyBorder="1" applyAlignment="1">
      <alignment horizontal="right" indent="3"/>
    </xf>
    <xf numFmtId="3" fontId="0" fillId="0" borderId="85" xfId="0" applyNumberFormat="1" applyFont="1" applyFill="1" applyBorder="1" applyAlignment="1">
      <alignment horizontal="right" indent="2"/>
    </xf>
    <xf numFmtId="3" fontId="0" fillId="0" borderId="86" xfId="0" applyNumberFormat="1" applyFont="1" applyFill="1" applyBorder="1" applyAlignment="1">
      <alignment horizontal="right" indent="2"/>
    </xf>
    <xf numFmtId="165" fontId="0" fillId="0" borderId="0" xfId="0" applyNumberFormat="1" applyFont="1" applyFill="1" applyBorder="1" applyAlignment="1">
      <alignment horizontal="right" indent="1"/>
    </xf>
    <xf numFmtId="3" fontId="0" fillId="0" borderId="81" xfId="0" applyNumberFormat="1" applyFont="1" applyBorder="1" applyAlignment="1">
      <alignment horizontal="right" indent="2"/>
    </xf>
    <xf numFmtId="3" fontId="0" fillId="0" borderId="82" xfId="0" applyNumberFormat="1" applyFont="1" applyBorder="1" applyAlignment="1">
      <alignment horizontal="right" indent="2"/>
    </xf>
    <xf numFmtId="3" fontId="0" fillId="0" borderId="87" xfId="0" applyNumberFormat="1" applyFont="1" applyBorder="1" applyAlignment="1">
      <alignment horizontal="right" indent="2"/>
    </xf>
    <xf numFmtId="3" fontId="0" fillId="0" borderId="87" xfId="0" applyNumberFormat="1" applyFont="1" applyBorder="1" applyAlignment="1">
      <alignment horizontal="right" indent="3"/>
    </xf>
    <xf numFmtId="0" fontId="0" fillId="0" borderId="58" xfId="0" applyFont="1" applyBorder="1" applyAlignment="1">
      <alignment/>
    </xf>
    <xf numFmtId="0" fontId="0" fillId="0" borderId="58" xfId="0" applyFont="1" applyFill="1" applyBorder="1" applyAlignment="1">
      <alignment/>
    </xf>
    <xf numFmtId="3" fontId="0" fillId="0" borderId="88" xfId="0" applyNumberFormat="1" applyFont="1" applyBorder="1" applyAlignment="1">
      <alignment horizontal="right" indent="2"/>
    </xf>
    <xf numFmtId="0" fontId="0" fillId="0" borderId="89" xfId="0" applyFont="1" applyFill="1" applyBorder="1" applyAlignment="1">
      <alignment/>
    </xf>
    <xf numFmtId="1" fontId="8" fillId="0" borderId="90" xfId="0" applyNumberFormat="1" applyFont="1" applyBorder="1" applyAlignment="1">
      <alignment horizontal="right" indent="2"/>
    </xf>
    <xf numFmtId="3" fontId="8" fillId="0" borderId="91" xfId="0" applyNumberFormat="1" applyFont="1" applyBorder="1" applyAlignment="1">
      <alignment horizontal="right" indent="2"/>
    </xf>
    <xf numFmtId="3" fontId="8" fillId="0" borderId="92" xfId="0" applyNumberFormat="1" applyFont="1" applyBorder="1" applyAlignment="1">
      <alignment horizontal="right" indent="2"/>
    </xf>
    <xf numFmtId="3" fontId="0" fillId="0" borderId="91" xfId="0" applyNumberFormat="1" applyFont="1" applyFill="1" applyBorder="1" applyAlignment="1">
      <alignment horizontal="right" indent="3"/>
    </xf>
    <xf numFmtId="3" fontId="0" fillId="0" borderId="90" xfId="0" applyNumberFormat="1" applyFont="1" applyFill="1" applyBorder="1" applyAlignment="1">
      <alignment horizontal="right" indent="2"/>
    </xf>
    <xf numFmtId="3" fontId="0" fillId="0" borderId="91" xfId="0" applyNumberFormat="1" applyFont="1" applyFill="1" applyBorder="1" applyAlignment="1">
      <alignment horizontal="right" indent="2"/>
    </xf>
    <xf numFmtId="0" fontId="0" fillId="0" borderId="93" xfId="0" applyFont="1" applyBorder="1" applyAlignment="1">
      <alignment/>
    </xf>
    <xf numFmtId="3" fontId="0" fillId="0" borderId="69" xfId="0" applyNumberFormat="1" applyFont="1" applyFill="1" applyBorder="1" applyAlignment="1">
      <alignment horizontal="right" indent="2"/>
    </xf>
    <xf numFmtId="3" fontId="0" fillId="0" borderId="94" xfId="0" applyNumberFormat="1" applyFont="1" applyFill="1" applyBorder="1" applyAlignment="1">
      <alignment horizontal="right" indent="2"/>
    </xf>
    <xf numFmtId="3" fontId="0" fillId="0" borderId="69" xfId="0" applyNumberFormat="1" applyFont="1" applyFill="1" applyBorder="1" applyAlignment="1">
      <alignment horizontal="right" indent="3"/>
    </xf>
    <xf numFmtId="3" fontId="0" fillId="0" borderId="94" xfId="0" applyNumberFormat="1" applyFont="1" applyFill="1" applyBorder="1" applyAlignment="1">
      <alignment horizontal="right" indent="4"/>
    </xf>
    <xf numFmtId="0" fontId="0" fillId="0" borderId="95" xfId="0" applyFont="1" applyFill="1" applyBorder="1" applyAlignment="1">
      <alignment/>
    </xf>
    <xf numFmtId="0" fontId="0" fillId="0" borderId="96" xfId="0" applyFont="1" applyFill="1" applyBorder="1" applyAlignment="1">
      <alignment/>
    </xf>
    <xf numFmtId="0" fontId="0" fillId="0" borderId="97" xfId="0" applyFont="1" applyFill="1" applyBorder="1" applyAlignment="1">
      <alignment/>
    </xf>
    <xf numFmtId="0" fontId="0" fillId="0" borderId="98" xfId="0" applyFont="1" applyFill="1" applyBorder="1" applyAlignment="1">
      <alignment/>
    </xf>
    <xf numFmtId="3" fontId="0" fillId="0" borderId="82" xfId="0" applyNumberFormat="1" applyFont="1" applyFill="1" applyBorder="1" applyAlignment="1">
      <alignment horizontal="right" indent="2"/>
    </xf>
    <xf numFmtId="3" fontId="0" fillId="0" borderId="99" xfId="0" applyNumberFormat="1" applyFont="1" applyFill="1" applyBorder="1" applyAlignment="1">
      <alignment horizontal="right" indent="3"/>
    </xf>
    <xf numFmtId="3" fontId="0" fillId="0" borderId="99" xfId="0" applyNumberFormat="1" applyFont="1" applyFill="1" applyBorder="1" applyAlignment="1">
      <alignment horizontal="right" indent="4"/>
    </xf>
    <xf numFmtId="3" fontId="0" fillId="0" borderId="100" xfId="0" applyNumberFormat="1" applyFont="1" applyFill="1" applyBorder="1" applyAlignment="1">
      <alignment horizontal="right" indent="3"/>
    </xf>
    <xf numFmtId="3" fontId="0" fillId="0" borderId="101" xfId="0" applyNumberFormat="1" applyFont="1" applyFill="1" applyBorder="1" applyAlignment="1">
      <alignment horizontal="right" indent="2"/>
    </xf>
    <xf numFmtId="3" fontId="0" fillId="0" borderId="68" xfId="0" applyNumberFormat="1" applyFont="1" applyFill="1" applyBorder="1" applyAlignment="1">
      <alignment horizontal="right" indent="2"/>
    </xf>
    <xf numFmtId="3" fontId="0" fillId="0" borderId="88" xfId="0" applyNumberFormat="1" applyFont="1" applyFill="1" applyBorder="1" applyAlignment="1">
      <alignment horizontal="right" indent="2"/>
    </xf>
    <xf numFmtId="3" fontId="0" fillId="0" borderId="102" xfId="0" applyNumberFormat="1" applyFont="1" applyFill="1" applyBorder="1" applyAlignment="1">
      <alignment horizontal="right" indent="3"/>
    </xf>
    <xf numFmtId="3" fontId="0" fillId="0" borderId="102" xfId="0" applyNumberFormat="1" applyFont="1" applyFill="1" applyBorder="1" applyAlignment="1">
      <alignment horizontal="right" indent="4"/>
    </xf>
    <xf numFmtId="3" fontId="0" fillId="0" borderId="68" xfId="0" applyNumberFormat="1" applyFont="1" applyFill="1" applyBorder="1" applyAlignment="1">
      <alignment horizontal="right" indent="3"/>
    </xf>
    <xf numFmtId="3" fontId="0" fillId="0" borderId="88" xfId="0" applyNumberFormat="1" applyFont="1" applyFill="1" applyBorder="1" applyAlignment="1">
      <alignment horizontal="right" indent="4"/>
    </xf>
    <xf numFmtId="1" fontId="8" fillId="0" borderId="68" xfId="0" applyNumberFormat="1" applyFont="1" applyFill="1" applyBorder="1" applyAlignment="1">
      <alignment horizontal="right" indent="2"/>
    </xf>
    <xf numFmtId="3" fontId="8" fillId="0" borderId="88" xfId="0" applyNumberFormat="1" applyFont="1" applyFill="1" applyBorder="1" applyAlignment="1">
      <alignment horizontal="right" indent="2"/>
    </xf>
    <xf numFmtId="3" fontId="8" fillId="0" borderId="102" xfId="0" applyNumberFormat="1" applyFont="1" applyFill="1" applyBorder="1" applyAlignment="1">
      <alignment horizontal="right" indent="3"/>
    </xf>
    <xf numFmtId="3" fontId="0" fillId="0" borderId="88" xfId="0" applyNumberFormat="1" applyFont="1" applyFill="1" applyBorder="1" applyAlignment="1">
      <alignment horizontal="right" indent="2"/>
    </xf>
    <xf numFmtId="0" fontId="87" fillId="0" borderId="23" xfId="0" applyFont="1" applyBorder="1" applyAlignment="1">
      <alignment wrapText="1"/>
    </xf>
    <xf numFmtId="0" fontId="95" fillId="0" borderId="0" xfId="0" applyFont="1" applyFill="1" applyAlignment="1">
      <alignment/>
    </xf>
    <xf numFmtId="0" fontId="96" fillId="0" borderId="27" xfId="0" applyFont="1" applyBorder="1" applyAlignment="1">
      <alignment vertical="center" wrapText="1"/>
    </xf>
    <xf numFmtId="0" fontId="96" fillId="0" borderId="27" xfId="0" applyFont="1" applyBorder="1" applyAlignment="1">
      <alignment wrapText="1"/>
    </xf>
    <xf numFmtId="0" fontId="5" fillId="0" borderId="47" xfId="0" applyFont="1" applyBorder="1" applyAlignment="1">
      <alignment horizontal="center" wrapText="1"/>
    </xf>
    <xf numFmtId="165" fontId="27" fillId="0" borderId="31" xfId="0" applyNumberFormat="1" applyFont="1" applyFill="1" applyBorder="1" applyAlignment="1">
      <alignment horizontal="center"/>
    </xf>
    <xf numFmtId="0" fontId="47" fillId="0" borderId="49" xfId="0" applyFont="1" applyFill="1" applyBorder="1" applyAlignment="1">
      <alignment/>
    </xf>
    <xf numFmtId="0" fontId="48" fillId="0" borderId="29" xfId="0" applyFont="1" applyFill="1" applyBorder="1" applyAlignment="1">
      <alignment horizontal="center"/>
    </xf>
    <xf numFmtId="3" fontId="48" fillId="0" borderId="29" xfId="0" applyNumberFormat="1" applyFont="1" applyFill="1" applyBorder="1" applyAlignment="1">
      <alignment horizontal="center"/>
    </xf>
    <xf numFmtId="165" fontId="48" fillId="0" borderId="29" xfId="0" applyNumberFormat="1" applyFont="1" applyFill="1" applyBorder="1" applyAlignment="1">
      <alignment horizontal="center"/>
    </xf>
    <xf numFmtId="3" fontId="7" fillId="0" borderId="29" xfId="0" applyNumberFormat="1" applyFont="1" applyFill="1" applyBorder="1" applyAlignment="1">
      <alignment/>
    </xf>
    <xf numFmtId="0" fontId="51" fillId="0" borderId="43" xfId="0" applyFont="1" applyFill="1" applyBorder="1" applyAlignment="1">
      <alignment/>
    </xf>
    <xf numFmtId="3" fontId="7" fillId="0" borderId="0" xfId="0" applyNumberFormat="1" applyFont="1" applyFill="1" applyBorder="1" applyAlignment="1">
      <alignment/>
    </xf>
    <xf numFmtId="0" fontId="49" fillId="0" borderId="43" xfId="0" applyFont="1" applyFill="1" applyBorder="1" applyAlignment="1">
      <alignment/>
    </xf>
    <xf numFmtId="0" fontId="90" fillId="0" borderId="43" xfId="0" applyFont="1" applyFill="1" applyBorder="1" applyAlignment="1">
      <alignment/>
    </xf>
    <xf numFmtId="0" fontId="0" fillId="0" borderId="31" xfId="0" applyFont="1" applyFill="1" applyBorder="1" applyAlignment="1">
      <alignment/>
    </xf>
    <xf numFmtId="0" fontId="50" fillId="0" borderId="50" xfId="0" applyFont="1" applyFill="1" applyBorder="1" applyAlignment="1">
      <alignment/>
    </xf>
    <xf numFmtId="0" fontId="50" fillId="0" borderId="33" xfId="0" applyFont="1" applyFill="1" applyBorder="1" applyAlignment="1">
      <alignment/>
    </xf>
    <xf numFmtId="0" fontId="0" fillId="0" borderId="38" xfId="0" applyFont="1" applyFill="1" applyBorder="1" applyAlignment="1">
      <alignment/>
    </xf>
    <xf numFmtId="0" fontId="82" fillId="0" borderId="27" xfId="0" applyFont="1" applyBorder="1" applyAlignment="1">
      <alignment wrapText="1"/>
    </xf>
    <xf numFmtId="0" fontId="84" fillId="0" borderId="47" xfId="0" applyFont="1" applyBorder="1" applyAlignment="1">
      <alignment horizontal="center" wrapText="1"/>
    </xf>
    <xf numFmtId="0" fontId="5" fillId="0" borderId="27" xfId="0" applyFont="1" applyBorder="1" applyAlignment="1">
      <alignment wrapText="1"/>
    </xf>
    <xf numFmtId="3" fontId="5" fillId="0" borderId="47" xfId="0" applyNumberFormat="1" applyFont="1" applyBorder="1" applyAlignment="1">
      <alignment horizontal="center" wrapText="1"/>
    </xf>
    <xf numFmtId="0" fontId="96" fillId="0" borderId="67" xfId="0" applyFont="1" applyBorder="1" applyAlignment="1">
      <alignment wrapText="1"/>
    </xf>
    <xf numFmtId="0" fontId="5" fillId="0" borderId="60" xfId="0" applyFont="1" applyBorder="1" applyAlignment="1">
      <alignment horizontal="center" wrapText="1"/>
    </xf>
    <xf numFmtId="0" fontId="96" fillId="0" borderId="63" xfId="0" applyFont="1" applyBorder="1" applyAlignment="1">
      <alignment vertical="top" wrapText="1"/>
    </xf>
    <xf numFmtId="3" fontId="75" fillId="0" borderId="47" xfId="0" applyNumberFormat="1" applyFont="1" applyBorder="1" applyAlignment="1">
      <alignment horizontal="center" wrapText="1"/>
    </xf>
    <xf numFmtId="1" fontId="27" fillId="0" borderId="56" xfId="0" applyNumberFormat="1"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7" fillId="0" borderId="47" xfId="0" applyFont="1" applyBorder="1" applyAlignment="1">
      <alignment horizontal="center" vertical="center" wrapText="1"/>
    </xf>
    <xf numFmtId="0" fontId="0" fillId="0" borderId="0" xfId="0" applyAlignment="1">
      <alignment horizontal="center"/>
    </xf>
    <xf numFmtId="3" fontId="27" fillId="0" borderId="47" xfId="0" applyNumberFormat="1" applyFont="1" applyFill="1" applyBorder="1" applyAlignment="1">
      <alignment horizontal="center" vertical="center" wrapText="1"/>
    </xf>
    <xf numFmtId="3" fontId="27" fillId="0" borderId="47" xfId="0" applyNumberFormat="1" applyFont="1" applyFill="1" applyBorder="1" applyAlignment="1">
      <alignment horizontal="center" vertical="center" wrapText="1"/>
    </xf>
    <xf numFmtId="0" fontId="27" fillId="0" borderId="47"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7" xfId="0" applyFont="1" applyFill="1" applyBorder="1" applyAlignment="1">
      <alignment horizontal="center" vertical="center" wrapText="1"/>
    </xf>
    <xf numFmtId="4" fontId="27" fillId="0" borderId="47" xfId="0" applyNumberFormat="1" applyFont="1" applyFill="1" applyBorder="1" applyAlignment="1">
      <alignment horizontal="center" vertical="center" wrapText="1"/>
    </xf>
    <xf numFmtId="0" fontId="27" fillId="0" borderId="102" xfId="0" applyFont="1" applyFill="1" applyBorder="1" applyAlignment="1">
      <alignment horizontal="center" vertical="top" wrapText="1"/>
    </xf>
    <xf numFmtId="0" fontId="27" fillId="0" borderId="102" xfId="0" applyFont="1" applyFill="1" applyBorder="1" applyAlignment="1">
      <alignment horizontal="center" vertical="top"/>
    </xf>
    <xf numFmtId="0" fontId="85" fillId="0" borderId="0" xfId="0" applyFont="1" applyAlignment="1">
      <alignment wrapText="1"/>
    </xf>
    <xf numFmtId="0" fontId="85" fillId="0" borderId="0" xfId="0" applyFont="1" applyAlignment="1">
      <alignment horizontal="left" vertical="top" wrapText="1"/>
    </xf>
    <xf numFmtId="0" fontId="27" fillId="0" borderId="47" xfId="0" applyFont="1" applyFill="1" applyBorder="1" applyAlignment="1">
      <alignment horizontal="center" vertical="center" wrapText="1"/>
    </xf>
    <xf numFmtId="3" fontId="27" fillId="0" borderId="103" xfId="0" applyNumberFormat="1" applyFont="1" applyFill="1" applyBorder="1" applyAlignment="1">
      <alignment horizontal="center" vertical="center" wrapText="1"/>
    </xf>
    <xf numFmtId="0" fontId="31" fillId="0" borderId="0" xfId="0" applyFont="1" applyBorder="1" applyAlignment="1">
      <alignment wrapText="1"/>
    </xf>
    <xf numFmtId="0" fontId="0" fillId="0" borderId="0" xfId="0" applyBorder="1" applyAlignment="1">
      <alignment/>
    </xf>
    <xf numFmtId="3" fontId="0" fillId="0" borderId="0" xfId="0" applyNumberFormat="1" applyFont="1" applyBorder="1" applyAlignment="1">
      <alignment/>
    </xf>
    <xf numFmtId="3" fontId="27" fillId="0" borderId="67" xfId="0" applyNumberFormat="1" applyFont="1" applyBorder="1" applyAlignment="1">
      <alignment vertical="top" wrapText="1"/>
    </xf>
    <xf numFmtId="0" fontId="2" fillId="0" borderId="104" xfId="0" applyFont="1" applyBorder="1" applyAlignment="1">
      <alignment horizontal="center" wrapText="1"/>
    </xf>
    <xf numFmtId="0" fontId="2" fillId="0" borderId="0" xfId="0" applyFont="1" applyBorder="1" applyAlignment="1">
      <alignment horizontal="center" wrapText="1"/>
    </xf>
    <xf numFmtId="0" fontId="28" fillId="0" borderId="104" xfId="0" applyFont="1" applyFill="1" applyBorder="1" applyAlignment="1">
      <alignment horizontal="center" wrapText="1"/>
    </xf>
    <xf numFmtId="0" fontId="28" fillId="0" borderId="0" xfId="0" applyFont="1" applyFill="1" applyBorder="1" applyAlignment="1">
      <alignment horizontal="center" wrapText="1"/>
    </xf>
    <xf numFmtId="3" fontId="23" fillId="0" borderId="104" xfId="0" applyNumberFormat="1" applyFont="1" applyFill="1" applyBorder="1" applyAlignment="1">
      <alignment horizontal="center"/>
    </xf>
    <xf numFmtId="3" fontId="0" fillId="0" borderId="0" xfId="0" applyNumberFormat="1" applyFont="1" applyFill="1" applyBorder="1" applyAlignment="1">
      <alignment/>
    </xf>
    <xf numFmtId="165" fontId="23" fillId="0" borderId="0" xfId="0" applyNumberFormat="1" applyFont="1" applyFill="1" applyBorder="1" applyAlignment="1">
      <alignment horizontal="center"/>
    </xf>
    <xf numFmtId="3" fontId="23" fillId="0" borderId="0" xfId="0" applyNumberFormat="1" applyFont="1" applyFill="1" applyBorder="1" applyAlignment="1">
      <alignment horizontal="center"/>
    </xf>
    <xf numFmtId="3" fontId="23" fillId="0" borderId="0" xfId="0" applyNumberFormat="1" applyFont="1" applyBorder="1" applyAlignment="1">
      <alignment/>
    </xf>
    <xf numFmtId="0" fontId="23" fillId="0" borderId="104" xfId="0" applyFont="1" applyBorder="1" applyAlignment="1">
      <alignment/>
    </xf>
    <xf numFmtId="0" fontId="52" fillId="0" borderId="0" xfId="0" applyFont="1" applyAlignment="1">
      <alignment wrapText="1"/>
    </xf>
    <xf numFmtId="0" fontId="23" fillId="0" borderId="23" xfId="0" applyFont="1" applyBorder="1" applyAlignment="1">
      <alignment/>
    </xf>
    <xf numFmtId="0" fontId="23" fillId="0" borderId="10" xfId="0" applyFont="1" applyBorder="1" applyAlignment="1">
      <alignment/>
    </xf>
    <xf numFmtId="0" fontId="25" fillId="0" borderId="15" xfId="0" applyFont="1" applyBorder="1" applyAlignment="1">
      <alignment horizontal="center"/>
    </xf>
    <xf numFmtId="0" fontId="23" fillId="0" borderId="12" xfId="0" applyFont="1" applyBorder="1" applyAlignment="1">
      <alignment/>
    </xf>
    <xf numFmtId="0" fontId="24" fillId="0" borderId="0" xfId="0" applyFont="1" applyBorder="1" applyAlignment="1">
      <alignment horizontal="center"/>
    </xf>
    <xf numFmtId="0" fontId="25" fillId="0" borderId="11" xfId="0" applyFont="1" applyBorder="1" applyAlignment="1">
      <alignment horizontal="center"/>
    </xf>
    <xf numFmtId="49" fontId="24" fillId="0" borderId="0" xfId="0" applyNumberFormat="1" applyFont="1" applyBorder="1" applyAlignment="1">
      <alignment horizontal="center"/>
    </xf>
    <xf numFmtId="0" fontId="34" fillId="20" borderId="12" xfId="0" applyFont="1" applyFill="1" applyBorder="1" applyAlignment="1">
      <alignment wrapText="1"/>
    </xf>
    <xf numFmtId="0" fontId="31" fillId="0" borderId="105" xfId="0" applyFont="1" applyFill="1" applyBorder="1" applyAlignment="1">
      <alignment horizontal="center" wrapText="1"/>
    </xf>
    <xf numFmtId="3" fontId="31" fillId="0" borderId="47" xfId="0" applyNumberFormat="1" applyFont="1" applyBorder="1" applyAlignment="1">
      <alignment horizontal="center" vertical="top" wrapText="1"/>
    </xf>
    <xf numFmtId="0" fontId="82" fillId="0" borderId="106" xfId="0" applyFont="1" applyBorder="1" applyAlignment="1">
      <alignment wrapText="1"/>
    </xf>
    <xf numFmtId="0" fontId="33" fillId="0" borderId="66" xfId="0" applyFont="1" applyBorder="1" applyAlignment="1">
      <alignment vertical="center" wrapText="1"/>
    </xf>
    <xf numFmtId="0" fontId="33" fillId="0" borderId="63" xfId="0" applyFont="1" applyBorder="1" applyAlignment="1">
      <alignment vertical="center" wrapText="1"/>
    </xf>
    <xf numFmtId="0" fontId="31" fillId="0" borderId="63" xfId="0" applyFont="1" applyBorder="1" applyAlignment="1">
      <alignment vertical="center" wrapText="1"/>
    </xf>
    <xf numFmtId="0" fontId="96" fillId="0" borderId="107" xfId="0" applyFont="1" applyBorder="1" applyAlignment="1">
      <alignment vertical="center" wrapText="1"/>
    </xf>
    <xf numFmtId="0" fontId="96" fillId="0" borderId="70" xfId="0" applyFont="1" applyBorder="1" applyAlignment="1">
      <alignment wrapText="1"/>
    </xf>
    <xf numFmtId="0" fontId="5" fillId="0" borderId="24" xfId="0" applyFont="1" applyBorder="1" applyAlignment="1">
      <alignment horizontal="center" wrapText="1"/>
    </xf>
    <xf numFmtId="15" fontId="2" fillId="0" borderId="0" xfId="0" applyNumberFormat="1" applyFont="1" applyAlignment="1">
      <alignment wrapText="1"/>
    </xf>
    <xf numFmtId="15" fontId="2" fillId="0" borderId="0" xfId="0" applyNumberFormat="1" applyFont="1" applyAlignment="1">
      <alignment/>
    </xf>
    <xf numFmtId="3" fontId="2" fillId="0" borderId="33" xfId="0" applyNumberFormat="1" applyFont="1" applyFill="1" applyBorder="1" applyAlignment="1">
      <alignment horizontal="center"/>
    </xf>
    <xf numFmtId="165" fontId="0" fillId="0" borderId="99" xfId="0" applyNumberFormat="1" applyFont="1" applyFill="1" applyBorder="1" applyAlignment="1">
      <alignment horizontal="right" indent="2"/>
    </xf>
    <xf numFmtId="165" fontId="0" fillId="0" borderId="108" xfId="0" applyNumberFormat="1" applyFont="1" applyFill="1" applyBorder="1" applyAlignment="1">
      <alignment horizontal="right" indent="1"/>
    </xf>
    <xf numFmtId="165" fontId="0" fillId="0" borderId="102" xfId="0" applyNumberFormat="1" applyFont="1" applyFill="1" applyBorder="1" applyAlignment="1">
      <alignment horizontal="right" indent="2"/>
    </xf>
    <xf numFmtId="165" fontId="0" fillId="0" borderId="109" xfId="0" applyNumberFormat="1" applyFont="1" applyFill="1" applyBorder="1" applyAlignment="1">
      <alignment horizontal="right" indent="1"/>
    </xf>
    <xf numFmtId="165" fontId="0" fillId="0" borderId="68" xfId="0" applyNumberFormat="1" applyFont="1" applyFill="1" applyBorder="1" applyAlignment="1">
      <alignment horizontal="right" indent="2"/>
    </xf>
    <xf numFmtId="165" fontId="0" fillId="0" borderId="102" xfId="0" applyNumberFormat="1" applyFont="1" applyBorder="1" applyAlignment="1">
      <alignment horizontal="right" indent="2"/>
    </xf>
    <xf numFmtId="165" fontId="0" fillId="0" borderId="109" xfId="0" applyNumberFormat="1" applyFont="1" applyBorder="1" applyAlignment="1">
      <alignment horizontal="right" indent="1"/>
    </xf>
    <xf numFmtId="165" fontId="0" fillId="0" borderId="69" xfId="0" applyNumberFormat="1" applyFont="1" applyFill="1" applyBorder="1" applyAlignment="1">
      <alignment horizontal="right" indent="2"/>
    </xf>
    <xf numFmtId="165" fontId="0" fillId="0" borderId="110" xfId="0" applyNumberFormat="1" applyFont="1" applyFill="1" applyBorder="1" applyAlignment="1">
      <alignment horizontal="right" indent="1"/>
    </xf>
    <xf numFmtId="165" fontId="0" fillId="0" borderId="76" xfId="0" applyNumberFormat="1" applyFont="1" applyFill="1" applyBorder="1" applyAlignment="1">
      <alignment horizontal="right" indent="1"/>
    </xf>
    <xf numFmtId="165" fontId="0" fillId="0" borderId="87" xfId="0" applyNumberFormat="1" applyFont="1" applyBorder="1" applyAlignment="1">
      <alignment horizontal="right" indent="1"/>
    </xf>
    <xf numFmtId="165" fontId="0" fillId="0" borderId="111" xfId="0" applyNumberFormat="1" applyFont="1" applyBorder="1" applyAlignment="1">
      <alignment horizontal="right" indent="1"/>
    </xf>
    <xf numFmtId="165" fontId="0" fillId="0" borderId="81" xfId="0" applyNumberFormat="1" applyFont="1" applyBorder="1" applyAlignment="1">
      <alignment horizontal="right" indent="1"/>
    </xf>
    <xf numFmtId="165" fontId="0" fillId="0" borderId="92" xfId="0" applyNumberFormat="1" applyFont="1" applyBorder="1" applyAlignment="1">
      <alignment horizontal="right" indent="1"/>
    </xf>
    <xf numFmtId="165" fontId="0" fillId="0" borderId="112" xfId="0" applyNumberFormat="1" applyFont="1" applyBorder="1" applyAlignment="1">
      <alignment horizontal="right" indent="1"/>
    </xf>
    <xf numFmtId="165" fontId="0" fillId="0" borderId="69" xfId="0" applyNumberFormat="1" applyFont="1" applyFill="1" applyBorder="1" applyAlignment="1">
      <alignment horizontal="right" indent="1"/>
    </xf>
    <xf numFmtId="3" fontId="50" fillId="0" borderId="30" xfId="0" applyNumberFormat="1" applyFont="1" applyFill="1" applyBorder="1" applyAlignment="1">
      <alignment horizontal="center"/>
    </xf>
    <xf numFmtId="0" fontId="36" fillId="0" borderId="0" xfId="0" applyFont="1" applyAlignment="1">
      <alignment/>
    </xf>
    <xf numFmtId="0" fontId="5" fillId="0" borderId="113" xfId="0" applyFont="1" applyBorder="1" applyAlignment="1">
      <alignment vertical="top" wrapText="1"/>
    </xf>
    <xf numFmtId="0" fontId="31" fillId="0" borderId="114" xfId="0" applyFont="1" applyBorder="1" applyAlignment="1">
      <alignment vertical="top" wrapText="1"/>
    </xf>
    <xf numFmtId="0" fontId="23" fillId="0" borderId="47" xfId="0" applyFont="1" applyBorder="1" applyAlignment="1">
      <alignment vertical="top" wrapText="1"/>
    </xf>
    <xf numFmtId="0" fontId="0" fillId="0" borderId="114" xfId="0" applyBorder="1" applyAlignment="1">
      <alignment vertical="top" wrapText="1"/>
    </xf>
    <xf numFmtId="0" fontId="5" fillId="0" borderId="47" xfId="0" applyFont="1" applyBorder="1" applyAlignment="1">
      <alignment vertical="top" wrapText="1"/>
    </xf>
    <xf numFmtId="0" fontId="75" fillId="0" borderId="47" xfId="0" applyFont="1" applyBorder="1" applyAlignment="1">
      <alignment vertical="top" wrapText="1"/>
    </xf>
    <xf numFmtId="0" fontId="5" fillId="0" borderId="47" xfId="0" applyFont="1" applyBorder="1" applyAlignment="1">
      <alignment wrapText="1"/>
    </xf>
    <xf numFmtId="0" fontId="5" fillId="0" borderId="113" xfId="0" applyFont="1" applyBorder="1" applyAlignment="1">
      <alignment wrapText="1"/>
    </xf>
    <xf numFmtId="0" fontId="31" fillId="0" borderId="68" xfId="0" applyFont="1" applyFill="1" applyBorder="1" applyAlignment="1">
      <alignment horizontal="left" vertical="top" wrapText="1" indent="1"/>
    </xf>
    <xf numFmtId="0" fontId="0" fillId="0" borderId="102" xfId="0" applyFill="1" applyBorder="1" applyAlignment="1">
      <alignment horizontal="left" vertical="top" wrapText="1" indent="1"/>
    </xf>
    <xf numFmtId="0" fontId="0" fillId="0" borderId="115" xfId="0" applyBorder="1" applyAlignment="1">
      <alignment horizontal="left" wrapText="1" indent="1"/>
    </xf>
    <xf numFmtId="0" fontId="23" fillId="0" borderId="0" xfId="0" applyFont="1" applyFill="1" applyAlignment="1">
      <alignment vertical="top" wrapText="1"/>
    </xf>
    <xf numFmtId="0" fontId="5" fillId="0" borderId="116" xfId="0" applyFont="1" applyBorder="1" applyAlignment="1">
      <alignment wrapText="1"/>
    </xf>
    <xf numFmtId="0" fontId="31" fillId="0" borderId="102" xfId="0" applyFont="1" applyFill="1" applyBorder="1" applyAlignment="1">
      <alignment horizontal="left" wrapText="1" indent="1"/>
    </xf>
    <xf numFmtId="0" fontId="31" fillId="0" borderId="115" xfId="0" applyFont="1" applyFill="1" applyBorder="1" applyAlignment="1">
      <alignment horizontal="left" wrapText="1" indent="1"/>
    </xf>
    <xf numFmtId="0" fontId="75" fillId="0" borderId="62" xfId="0" applyFont="1" applyBorder="1" applyAlignment="1">
      <alignment vertical="top" wrapText="1"/>
    </xf>
    <xf numFmtId="0" fontId="5" fillId="0" borderId="62" xfId="0" applyFont="1" applyBorder="1" applyAlignment="1">
      <alignment wrapText="1"/>
    </xf>
    <xf numFmtId="3" fontId="0" fillId="0" borderId="0" xfId="0" applyNumberFormat="1" applyBorder="1" applyAlignment="1">
      <alignment horizontal="center"/>
    </xf>
    <xf numFmtId="0" fontId="49" fillId="0" borderId="0" xfId="0" applyNumberFormat="1" applyFont="1" applyFill="1" applyBorder="1" applyAlignment="1">
      <alignment horizontal="center"/>
    </xf>
    <xf numFmtId="165" fontId="75" fillId="0" borderId="0" xfId="0" applyNumberFormat="1" applyFont="1" applyFill="1" applyBorder="1" applyAlignment="1">
      <alignment horizontal="center"/>
    </xf>
    <xf numFmtId="0" fontId="23" fillId="0" borderId="0" xfId="0" applyFont="1" applyAlignment="1">
      <alignment wrapText="1"/>
    </xf>
    <xf numFmtId="0" fontId="31" fillId="0" borderId="68" xfId="0" applyFont="1" applyFill="1" applyBorder="1" applyAlignment="1">
      <alignment horizontal="left" wrapText="1" indent="1"/>
    </xf>
    <xf numFmtId="0" fontId="51" fillId="0" borderId="117" xfId="0" applyFont="1" applyFill="1" applyBorder="1" applyAlignment="1">
      <alignment horizontal="center"/>
    </xf>
    <xf numFmtId="0" fontId="0" fillId="0" borderId="118" xfId="0" applyFont="1" applyBorder="1" applyAlignment="1">
      <alignment horizontal="center"/>
    </xf>
    <xf numFmtId="0" fontId="51" fillId="0" borderId="119" xfId="0" applyFont="1" applyFill="1" applyBorder="1" applyAlignment="1">
      <alignment horizontal="center"/>
    </xf>
    <xf numFmtId="0" fontId="0" fillId="0" borderId="119" xfId="0" applyFont="1" applyBorder="1" applyAlignment="1">
      <alignment horizontal="center"/>
    </xf>
    <xf numFmtId="3" fontId="51" fillId="0" borderId="117" xfId="0" applyNumberFormat="1" applyFont="1" applyFill="1" applyBorder="1" applyAlignment="1">
      <alignment horizontal="center"/>
    </xf>
    <xf numFmtId="3" fontId="51" fillId="0" borderId="119" xfId="0" applyNumberFormat="1" applyFont="1" applyFill="1" applyBorder="1" applyAlignment="1">
      <alignment horizontal="center"/>
    </xf>
    <xf numFmtId="0" fontId="0" fillId="0" borderId="120" xfId="0" applyFont="1" applyBorder="1" applyAlignment="1">
      <alignment horizontal="center"/>
    </xf>
    <xf numFmtId="0" fontId="23" fillId="0" borderId="0" xfId="0" applyFont="1" applyFill="1" applyBorder="1" applyAlignment="1">
      <alignment vertical="top" wrapText="1"/>
    </xf>
    <xf numFmtId="0" fontId="0" fillId="0" borderId="0" xfId="0" applyAlignment="1">
      <alignment/>
    </xf>
    <xf numFmtId="0" fontId="31" fillId="0" borderId="46" xfId="0" applyFont="1" applyBorder="1" applyAlignment="1">
      <alignment horizontal="left" wrapText="1" indent="1"/>
    </xf>
    <xf numFmtId="0" fontId="23" fillId="0" borderId="46" xfId="0" applyFont="1" applyBorder="1" applyAlignment="1">
      <alignment horizontal="left" wrapText="1" indent="1"/>
    </xf>
    <xf numFmtId="0" fontId="23" fillId="0" borderId="121" xfId="0" applyFont="1" applyBorder="1" applyAlignment="1">
      <alignment horizontal="left" wrapText="1" indent="1"/>
    </xf>
    <xf numFmtId="0" fontId="0" fillId="0" borderId="114" xfId="0" applyBorder="1" applyAlignment="1">
      <alignment vertical="top"/>
    </xf>
    <xf numFmtId="0" fontId="0" fillId="0" borderId="47" xfId="0" applyBorder="1" applyAlignment="1">
      <alignment vertical="top"/>
    </xf>
    <xf numFmtId="0" fontId="72" fillId="0" borderId="47" xfId="0" applyFont="1" applyBorder="1" applyAlignment="1">
      <alignment vertical="top" wrapText="1"/>
    </xf>
    <xf numFmtId="0" fontId="0" fillId="0" borderId="47" xfId="0" applyBorder="1" applyAlignment="1">
      <alignment vertical="top" wrapText="1"/>
    </xf>
    <xf numFmtId="0" fontId="0" fillId="0" borderId="113" xfId="0" applyBorder="1" applyAlignment="1">
      <alignment vertical="top" wrapText="1"/>
    </xf>
    <xf numFmtId="0" fontId="31" fillId="0" borderId="47" xfId="0" applyFont="1" applyBorder="1" applyAlignment="1">
      <alignment horizontal="left" wrapText="1" indent="1"/>
    </xf>
    <xf numFmtId="0" fontId="23" fillId="0" borderId="47" xfId="0" applyFont="1" applyBorder="1" applyAlignment="1">
      <alignment horizontal="left" wrapText="1" indent="1"/>
    </xf>
    <xf numFmtId="0" fontId="23" fillId="0" borderId="113" xfId="0" applyFont="1" applyBorder="1" applyAlignment="1">
      <alignment horizontal="left" wrapText="1" indent="1"/>
    </xf>
    <xf numFmtId="0" fontId="33" fillId="0" borderId="122" xfId="0" applyFont="1" applyBorder="1" applyAlignment="1">
      <alignment wrapText="1"/>
    </xf>
    <xf numFmtId="0" fontId="23" fillId="0" borderId="46" xfId="0" applyFont="1" applyBorder="1" applyAlignment="1">
      <alignment wrapText="1"/>
    </xf>
    <xf numFmtId="0" fontId="33" fillId="0" borderId="114" xfId="0" applyFont="1" applyBorder="1" applyAlignment="1">
      <alignment wrapText="1"/>
    </xf>
    <xf numFmtId="0" fontId="23" fillId="0" borderId="47" xfId="0" applyFont="1" applyBorder="1" applyAlignment="1">
      <alignment wrapText="1"/>
    </xf>
    <xf numFmtId="0" fontId="33" fillId="0" borderId="114" xfId="0" applyFont="1" applyFill="1" applyBorder="1" applyAlignment="1">
      <alignment wrapText="1"/>
    </xf>
    <xf numFmtId="0" fontId="23" fillId="0" borderId="47" xfId="0" applyFont="1" applyFill="1" applyBorder="1" applyAlignment="1">
      <alignment wrapText="1"/>
    </xf>
    <xf numFmtId="0" fontId="31" fillId="0" borderId="114" xfId="0" applyFont="1" applyBorder="1" applyAlignment="1">
      <alignment wrapText="1"/>
    </xf>
    <xf numFmtId="0" fontId="23" fillId="0" borderId="0" xfId="0" applyFont="1" applyAlignment="1">
      <alignment/>
    </xf>
    <xf numFmtId="0" fontId="23" fillId="0" borderId="0" xfId="0" applyFont="1" applyAlignment="1">
      <alignment vertical="top" wrapText="1"/>
    </xf>
    <xf numFmtId="0" fontId="23"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31" fillId="0" borderId="114" xfId="0" applyFont="1" applyBorder="1" applyAlignment="1">
      <alignment horizontal="left" wrapText="1"/>
    </xf>
    <xf numFmtId="0" fontId="33" fillId="0" borderId="114" xfId="0" applyFont="1" applyFill="1" applyBorder="1" applyAlignment="1">
      <alignment vertical="top" wrapText="1"/>
    </xf>
    <xf numFmtId="0" fontId="0" fillId="0" borderId="47" xfId="0" applyFill="1" applyBorder="1" applyAlignment="1">
      <alignment vertical="top" wrapText="1"/>
    </xf>
    <xf numFmtId="0" fontId="0" fillId="0" borderId="114" xfId="0" applyBorder="1" applyAlignment="1">
      <alignment wrapText="1"/>
    </xf>
    <xf numFmtId="0" fontId="0" fillId="0" borderId="47" xfId="0" applyBorder="1" applyAlignment="1">
      <alignment wrapText="1"/>
    </xf>
    <xf numFmtId="0" fontId="0" fillId="0" borderId="68" xfId="0" applyBorder="1" applyAlignment="1">
      <alignment wrapText="1"/>
    </xf>
    <xf numFmtId="0" fontId="0" fillId="0" borderId="88" xfId="0" applyBorder="1" applyAlignment="1">
      <alignment wrapText="1"/>
    </xf>
    <xf numFmtId="0" fontId="0" fillId="0" borderId="113" xfId="0" applyBorder="1" applyAlignment="1">
      <alignment wrapText="1"/>
    </xf>
    <xf numFmtId="0" fontId="0" fillId="0" borderId="114" xfId="0" applyBorder="1" applyAlignment="1">
      <alignment/>
    </xf>
    <xf numFmtId="0" fontId="0" fillId="0" borderId="47" xfId="0" applyBorder="1" applyAlignment="1">
      <alignment/>
    </xf>
    <xf numFmtId="0" fontId="0" fillId="0" borderId="68" xfId="0" applyBorder="1" applyAlignment="1">
      <alignment/>
    </xf>
    <xf numFmtId="0" fontId="72" fillId="0" borderId="88" xfId="0" applyFont="1" applyBorder="1" applyAlignment="1">
      <alignment wrapText="1"/>
    </xf>
    <xf numFmtId="0" fontId="9" fillId="0" borderId="0" xfId="0" applyFont="1" applyFill="1" applyBorder="1" applyAlignment="1">
      <alignment horizontal="center" wrapText="1"/>
    </xf>
    <xf numFmtId="0" fontId="0" fillId="0" borderId="0" xfId="0" applyAlignment="1">
      <alignment horizontal="center" wrapText="1"/>
    </xf>
    <xf numFmtId="0" fontId="92" fillId="0" borderId="117" xfId="0" applyFont="1" applyFill="1" applyBorder="1" applyAlignment="1">
      <alignment horizontal="center"/>
    </xf>
    <xf numFmtId="0" fontId="91" fillId="0" borderId="118" xfId="0" applyFont="1" applyBorder="1" applyAlignment="1">
      <alignment horizontal="center"/>
    </xf>
    <xf numFmtId="0" fontId="92" fillId="0" borderId="119" xfId="0" applyFont="1" applyFill="1" applyBorder="1" applyAlignment="1">
      <alignment horizontal="center"/>
    </xf>
    <xf numFmtId="0" fontId="91" fillId="0" borderId="119" xfId="0" applyFont="1" applyBorder="1" applyAlignment="1">
      <alignment horizontal="center"/>
    </xf>
    <xf numFmtId="3" fontId="92" fillId="0" borderId="117" xfId="0" applyNumberFormat="1" applyFont="1" applyFill="1" applyBorder="1" applyAlignment="1">
      <alignment horizontal="center"/>
    </xf>
    <xf numFmtId="3" fontId="92" fillId="0" borderId="119" xfId="0" applyNumberFormat="1" applyFont="1" applyFill="1" applyBorder="1" applyAlignment="1">
      <alignment horizontal="center"/>
    </xf>
    <xf numFmtId="0" fontId="91" fillId="0" borderId="120" xfId="0" applyFont="1" applyBorder="1" applyAlignment="1">
      <alignment horizontal="center"/>
    </xf>
    <xf numFmtId="0" fontId="33" fillId="0" borderId="123" xfId="0" applyFont="1" applyFill="1" applyBorder="1" applyAlignment="1">
      <alignment vertical="top" wrapText="1"/>
    </xf>
    <xf numFmtId="0" fontId="33" fillId="0" borderId="102" xfId="0" applyFont="1" applyFill="1" applyBorder="1" applyAlignment="1">
      <alignment vertical="top" wrapText="1"/>
    </xf>
    <xf numFmtId="0" fontId="33" fillId="0" borderId="88" xfId="0" applyFont="1" applyFill="1" applyBorder="1" applyAlignment="1">
      <alignment vertical="top" wrapText="1"/>
    </xf>
    <xf numFmtId="0" fontId="75" fillId="0" borderId="68" xfId="0" applyFont="1" applyBorder="1" applyAlignment="1">
      <alignment vertical="top" wrapText="1"/>
    </xf>
    <xf numFmtId="0" fontId="75" fillId="0" borderId="102" xfId="0" applyFont="1" applyBorder="1" applyAlignment="1">
      <alignment vertical="top" wrapText="1"/>
    </xf>
    <xf numFmtId="0" fontId="75" fillId="0" borderId="115" xfId="0" applyFont="1" applyBorder="1" applyAlignment="1">
      <alignment vertical="top" wrapText="1"/>
    </xf>
    <xf numFmtId="0" fontId="9" fillId="0" borderId="124" xfId="0" applyFont="1" applyFill="1" applyBorder="1" applyAlignment="1">
      <alignment horizontal="center" wrapText="1"/>
    </xf>
    <xf numFmtId="0" fontId="0" fillId="0" borderId="124" xfId="0" applyBorder="1" applyAlignment="1">
      <alignment horizontal="center" wrapText="1"/>
    </xf>
    <xf numFmtId="0" fontId="23" fillId="0" borderId="0" xfId="0" applyFont="1" applyAlignment="1">
      <alignment/>
    </xf>
    <xf numFmtId="0" fontId="52" fillId="0" borderId="0" xfId="0" applyFont="1" applyAlignment="1">
      <alignment wrapText="1"/>
    </xf>
    <xf numFmtId="0" fontId="53" fillId="0" borderId="0" xfId="0" applyFont="1" applyAlignment="1">
      <alignment wrapText="1"/>
    </xf>
    <xf numFmtId="0" fontId="3" fillId="0" borderId="0" xfId="0" applyFont="1" applyAlignment="1">
      <alignment wrapText="1"/>
    </xf>
    <xf numFmtId="0" fontId="34" fillId="20" borderId="125" xfId="0" applyFont="1" applyFill="1" applyBorder="1" applyAlignment="1">
      <alignment/>
    </xf>
    <xf numFmtId="0" fontId="0" fillId="0" borderId="0" xfId="0" applyBorder="1" applyAlignment="1">
      <alignment/>
    </xf>
    <xf numFmtId="0" fontId="34" fillId="20" borderId="126" xfId="0" applyFont="1" applyFill="1" applyBorder="1" applyAlignment="1">
      <alignment/>
    </xf>
    <xf numFmtId="0" fontId="2" fillId="0" borderId="104" xfId="0" applyFont="1" applyBorder="1" applyAlignment="1">
      <alignment horizontal="center" wrapText="1"/>
    </xf>
    <xf numFmtId="0" fontId="2" fillId="0" borderId="0" xfId="0" applyFont="1" applyBorder="1" applyAlignment="1">
      <alignment horizontal="center" wrapText="1"/>
    </xf>
    <xf numFmtId="0" fontId="27" fillId="0" borderId="68" xfId="0" applyFont="1" applyBorder="1" applyAlignment="1">
      <alignment vertical="top" wrapText="1"/>
    </xf>
    <xf numFmtId="0" fontId="27" fillId="0" borderId="102" xfId="0" applyFont="1" applyBorder="1" applyAlignment="1">
      <alignment vertical="top" wrapText="1"/>
    </xf>
    <xf numFmtId="0" fontId="27" fillId="0" borderId="109" xfId="0" applyFont="1" applyBorder="1" applyAlignment="1">
      <alignment vertical="top" wrapText="1"/>
    </xf>
    <xf numFmtId="0" fontId="27" fillId="0" borderId="90" xfId="0" applyFont="1" applyBorder="1" applyAlignment="1">
      <alignment vertical="top" wrapText="1"/>
    </xf>
    <xf numFmtId="0" fontId="27" fillId="0" borderId="92" xfId="0" applyFont="1" applyBorder="1" applyAlignment="1">
      <alignment vertical="top" wrapText="1"/>
    </xf>
    <xf numFmtId="0" fontId="27" fillId="0" borderId="112" xfId="0" applyFont="1" applyBorder="1" applyAlignment="1">
      <alignment vertical="top" wrapText="1"/>
    </xf>
    <xf numFmtId="3" fontId="28" fillId="0" borderId="104" xfId="0" applyNumberFormat="1" applyFont="1" applyFill="1" applyBorder="1" applyAlignment="1">
      <alignment horizontal="center" wrapText="1"/>
    </xf>
    <xf numFmtId="0" fontId="0" fillId="0" borderId="0" xfId="0" applyFont="1" applyBorder="1" applyAlignment="1">
      <alignment horizontal="center" wrapText="1"/>
    </xf>
    <xf numFmtId="0" fontId="0" fillId="0" borderId="0" xfId="0" applyFont="1" applyBorder="1" applyAlignment="1">
      <alignment wrapText="1"/>
    </xf>
    <xf numFmtId="0" fontId="27" fillId="0" borderId="47" xfId="0" applyFont="1" applyBorder="1" applyAlignment="1">
      <alignment vertical="top" wrapText="1"/>
    </xf>
    <xf numFmtId="0" fontId="7" fillId="0" borderId="47" xfId="0" applyFont="1" applyBorder="1" applyAlignment="1">
      <alignment vertical="top" wrapText="1"/>
    </xf>
    <xf numFmtId="0" fontId="7" fillId="0" borderId="127" xfId="0" applyFont="1" applyBorder="1" applyAlignment="1">
      <alignment vertical="top" wrapText="1"/>
    </xf>
    <xf numFmtId="0" fontId="27" fillId="0" borderId="47" xfId="0" applyFont="1" applyBorder="1" applyAlignment="1">
      <alignment vertical="top" wrapText="1"/>
    </xf>
    <xf numFmtId="0" fontId="7" fillId="0" borderId="47" xfId="0" applyFont="1" applyBorder="1" applyAlignment="1">
      <alignment vertical="top"/>
    </xf>
    <xf numFmtId="0" fontId="7" fillId="0" borderId="127" xfId="0" applyFont="1" applyBorder="1" applyAlignment="1">
      <alignment vertical="top"/>
    </xf>
    <xf numFmtId="0" fontId="27" fillId="0" borderId="43" xfId="0" applyFont="1" applyBorder="1" applyAlignment="1">
      <alignment wrapText="1"/>
    </xf>
    <xf numFmtId="0" fontId="0" fillId="0" borderId="0" xfId="0" applyBorder="1" applyAlignment="1">
      <alignment wrapText="1"/>
    </xf>
    <xf numFmtId="0" fontId="0" fillId="0" borderId="31" xfId="0" applyBorder="1" applyAlignment="1">
      <alignment wrapText="1"/>
    </xf>
    <xf numFmtId="0" fontId="55" fillId="0" borderId="0" xfId="0" applyFont="1" applyBorder="1" applyAlignment="1">
      <alignment wrapText="1"/>
    </xf>
    <xf numFmtId="0" fontId="0" fillId="0" borderId="0" xfId="0" applyBorder="1" applyAlignment="1">
      <alignment/>
    </xf>
    <xf numFmtId="3" fontId="49" fillId="0" borderId="0" xfId="0" applyNumberFormat="1" applyFont="1" applyFill="1" applyBorder="1" applyAlignment="1">
      <alignment horizontal="center"/>
    </xf>
    <xf numFmtId="0" fontId="0" fillId="0" borderId="31" xfId="0" applyBorder="1" applyAlignment="1">
      <alignment horizontal="center"/>
    </xf>
    <xf numFmtId="0" fontId="27" fillId="0" borderId="32" xfId="0" applyFont="1" applyFill="1" applyBorder="1" applyAlignment="1">
      <alignment/>
    </xf>
    <xf numFmtId="0" fontId="0" fillId="0" borderId="0" xfId="0" applyFill="1" applyBorder="1" applyAlignment="1">
      <alignment/>
    </xf>
    <xf numFmtId="0" fontId="49" fillId="0" borderId="0" xfId="0" applyFont="1" applyFill="1" applyBorder="1" applyAlignment="1">
      <alignment horizontal="center"/>
    </xf>
    <xf numFmtId="0" fontId="0" fillId="0" borderId="0" xfId="0" applyBorder="1" applyAlignment="1">
      <alignment horizontal="center"/>
    </xf>
    <xf numFmtId="0" fontId="52" fillId="0" borderId="0" xfId="0" applyFont="1" applyBorder="1" applyAlignment="1">
      <alignment wrapText="1"/>
    </xf>
    <xf numFmtId="0" fontId="53" fillId="0" borderId="0" xfId="0" applyFont="1" applyBorder="1" applyAlignment="1">
      <alignment wrapText="1"/>
    </xf>
    <xf numFmtId="0" fontId="27" fillId="0" borderId="47" xfId="0" applyFont="1" applyFill="1" applyBorder="1" applyAlignment="1">
      <alignment vertical="top" wrapText="1"/>
    </xf>
    <xf numFmtId="0" fontId="7" fillId="0" borderId="47" xfId="0" applyFont="1" applyBorder="1" applyAlignment="1">
      <alignment wrapText="1"/>
    </xf>
    <xf numFmtId="0" fontId="7" fillId="0" borderId="127" xfId="0" applyFont="1" applyBorder="1" applyAlignment="1">
      <alignment wrapText="1"/>
    </xf>
    <xf numFmtId="0" fontId="27" fillId="0" borderId="47" xfId="0" applyNumberFormat="1" applyFont="1" applyFill="1" applyBorder="1" applyAlignment="1">
      <alignment vertical="top" wrapText="1"/>
    </xf>
    <xf numFmtId="0" fontId="7" fillId="0" borderId="47" xfId="0" applyFont="1" applyFill="1" applyBorder="1" applyAlignment="1">
      <alignment wrapText="1"/>
    </xf>
    <xf numFmtId="0" fontId="7" fillId="0" borderId="127" xfId="0" applyFont="1" applyFill="1" applyBorder="1" applyAlignment="1">
      <alignment wrapText="1"/>
    </xf>
    <xf numFmtId="0" fontId="27" fillId="0" borderId="56" xfId="0" applyFont="1" applyFill="1" applyBorder="1" applyAlignment="1">
      <alignment vertical="top" wrapText="1"/>
    </xf>
    <xf numFmtId="0" fontId="7" fillId="0" borderId="56" xfId="0" applyFont="1" applyBorder="1" applyAlignment="1">
      <alignment wrapText="1"/>
    </xf>
    <xf numFmtId="0" fontId="7" fillId="0" borderId="128" xfId="0" applyFont="1" applyBorder="1" applyAlignment="1">
      <alignment wrapText="1"/>
    </xf>
    <xf numFmtId="0" fontId="26" fillId="0" borderId="32" xfId="0" applyFont="1" applyFill="1" applyBorder="1" applyAlignment="1">
      <alignment wrapText="1"/>
    </xf>
    <xf numFmtId="0" fontId="23" fillId="0" borderId="0" xfId="0" applyFont="1" applyFill="1" applyBorder="1" applyAlignment="1">
      <alignment wrapText="1"/>
    </xf>
    <xf numFmtId="0" fontId="26" fillId="0" borderId="43" xfId="0" applyFont="1" applyBorder="1" applyAlignment="1">
      <alignment wrapText="1"/>
    </xf>
    <xf numFmtId="0" fontId="26" fillId="0" borderId="50" xfId="0" applyFont="1" applyFill="1" applyBorder="1" applyAlignment="1">
      <alignment horizontal="left" wrapText="1"/>
    </xf>
    <xf numFmtId="0" fontId="23" fillId="0" borderId="33" xfId="0" applyFont="1" applyFill="1" applyBorder="1" applyAlignment="1">
      <alignment horizontal="left" wrapText="1"/>
    </xf>
    <xf numFmtId="0" fontId="0" fillId="0" borderId="33" xfId="0" applyBorder="1" applyAlignment="1">
      <alignment wrapText="1"/>
    </xf>
    <xf numFmtId="0" fontId="0" fillId="0" borderId="38" xfId="0" applyBorder="1" applyAlignment="1">
      <alignment wrapText="1"/>
    </xf>
    <xf numFmtId="0" fontId="27" fillId="0" borderId="32" xfId="0" applyFont="1" applyFill="1" applyBorder="1" applyAlignment="1">
      <alignment vertical="top" wrapText="1"/>
    </xf>
    <xf numFmtId="0" fontId="0" fillId="0" borderId="0" xfId="0" applyBorder="1" applyAlignment="1">
      <alignment vertical="top" wrapText="1"/>
    </xf>
    <xf numFmtId="0" fontId="0" fillId="0" borderId="0" xfId="0" applyBorder="1" applyAlignment="1">
      <alignment vertical="top" wrapText="1"/>
    </xf>
    <xf numFmtId="0" fontId="27" fillId="0" borderId="37" xfId="0" applyFont="1" applyFill="1" applyBorder="1" applyAlignment="1">
      <alignment vertical="top" wrapText="1"/>
    </xf>
    <xf numFmtId="0" fontId="0" fillId="0" borderId="14" xfId="0" applyBorder="1" applyAlignment="1">
      <alignment wrapText="1"/>
    </xf>
    <xf numFmtId="0" fontId="0" fillId="0" borderId="40" xfId="0" applyBorder="1" applyAlignment="1">
      <alignment wrapText="1"/>
    </xf>
    <xf numFmtId="0" fontId="27" fillId="0" borderId="129" xfId="0" applyFont="1" applyBorder="1" applyAlignment="1">
      <alignment vertical="top" wrapText="1"/>
    </xf>
    <xf numFmtId="0" fontId="23" fillId="0" borderId="129" xfId="0" applyFont="1" applyBorder="1" applyAlignment="1">
      <alignment vertical="top" wrapText="1"/>
    </xf>
    <xf numFmtId="0" fontId="23" fillId="0" borderId="110" xfId="0" applyFont="1" applyBorder="1" applyAlignment="1">
      <alignment vertical="top" wrapText="1"/>
    </xf>
    <xf numFmtId="3" fontId="28" fillId="0" borderId="0" xfId="0" applyNumberFormat="1" applyFont="1" applyFill="1" applyBorder="1" applyAlignment="1">
      <alignment horizontal="center" wrapText="1"/>
    </xf>
    <xf numFmtId="0" fontId="7" fillId="0" borderId="68" xfId="0" applyFont="1" applyBorder="1" applyAlignment="1">
      <alignment wrapText="1"/>
    </xf>
    <xf numFmtId="0" fontId="7" fillId="0" borderId="102" xfId="0" applyFont="1" applyBorder="1" applyAlignment="1">
      <alignment wrapText="1"/>
    </xf>
    <xf numFmtId="0" fontId="7" fillId="0" borderId="109" xfId="0" applyFont="1" applyBorder="1" applyAlignment="1">
      <alignment wrapText="1"/>
    </xf>
    <xf numFmtId="0" fontId="27" fillId="0" borderId="102" xfId="0" applyFont="1" applyBorder="1" applyAlignment="1">
      <alignment wrapText="1"/>
    </xf>
    <xf numFmtId="0" fontId="27" fillId="0" borderId="102" xfId="0" applyFont="1" applyBorder="1" applyAlignment="1">
      <alignment wrapText="1"/>
    </xf>
    <xf numFmtId="0" fontId="27" fillId="0" borderId="109" xfId="0" applyFont="1" applyBorder="1" applyAlignment="1">
      <alignment wrapText="1"/>
    </xf>
    <xf numFmtId="0" fontId="25" fillId="0" borderId="119" xfId="0" applyFont="1" applyFill="1" applyBorder="1" applyAlignment="1">
      <alignment horizontal="center" wrapText="1"/>
    </xf>
    <xf numFmtId="0" fontId="7" fillId="0" borderId="119" xfId="0" applyFont="1" applyBorder="1" applyAlignment="1">
      <alignment wrapText="1"/>
    </xf>
    <xf numFmtId="0" fontId="7" fillId="0" borderId="120" xfId="0" applyFont="1" applyBorder="1" applyAlignment="1">
      <alignment wrapText="1"/>
    </xf>
    <xf numFmtId="0" fontId="7" fillId="0" borderId="33" xfId="0" applyFont="1" applyBorder="1" applyAlignment="1">
      <alignment wrapText="1"/>
    </xf>
    <xf numFmtId="0" fontId="7" fillId="0" borderId="130" xfId="0" applyFont="1" applyBorder="1" applyAlignment="1">
      <alignment wrapText="1"/>
    </xf>
    <xf numFmtId="0" fontId="0" fillId="0" borderId="131" xfId="0" applyBorder="1" applyAlignment="1">
      <alignment wrapText="1"/>
    </xf>
    <xf numFmtId="0" fontId="0" fillId="0" borderId="132" xfId="0" applyBorder="1" applyAlignment="1">
      <alignment wrapText="1"/>
    </xf>
    <xf numFmtId="0" fontId="0" fillId="0" borderId="133" xfId="0" applyBorder="1" applyAlignment="1">
      <alignment wrapText="1"/>
    </xf>
    <xf numFmtId="0" fontId="87" fillId="0" borderId="134" xfId="0" applyFont="1" applyFill="1" applyBorder="1" applyAlignment="1">
      <alignment wrapText="1"/>
    </xf>
    <xf numFmtId="0" fontId="85" fillId="0" borderId="99" xfId="0" applyFont="1" applyBorder="1" applyAlignment="1">
      <alignment wrapText="1"/>
    </xf>
    <xf numFmtId="0" fontId="85" fillId="0" borderId="135" xfId="0" applyFont="1" applyBorder="1" applyAlignment="1">
      <alignment wrapText="1"/>
    </xf>
    <xf numFmtId="0" fontId="0" fillId="0" borderId="102" xfId="0" applyBorder="1" applyAlignment="1">
      <alignment wrapText="1"/>
    </xf>
    <xf numFmtId="0" fontId="0" fillId="0" borderId="136" xfId="0" applyBorder="1" applyAlignment="1">
      <alignment wrapText="1"/>
    </xf>
    <xf numFmtId="0" fontId="31" fillId="0" borderId="68" xfId="0" applyFont="1" applyFill="1" applyBorder="1" applyAlignment="1">
      <alignment wrapText="1"/>
    </xf>
    <xf numFmtId="0" fontId="31" fillId="0" borderId="102" xfId="0" applyFont="1" applyFill="1" applyBorder="1" applyAlignment="1">
      <alignment wrapText="1"/>
    </xf>
    <xf numFmtId="0" fontId="31" fillId="0" borderId="68" xfId="0" applyNumberFormat="1" applyFont="1" applyFill="1" applyBorder="1" applyAlignment="1">
      <alignment wrapText="1"/>
    </xf>
    <xf numFmtId="0" fontId="31" fillId="0" borderId="102" xfId="0" applyNumberFormat="1" applyFont="1" applyFill="1" applyBorder="1" applyAlignment="1">
      <alignment wrapText="1"/>
    </xf>
    <xf numFmtId="0" fontId="27" fillId="0" borderId="43" xfId="0" applyFont="1" applyFill="1" applyBorder="1" applyAlignment="1">
      <alignment wrapText="1"/>
    </xf>
    <xf numFmtId="0" fontId="26" fillId="0" borderId="50" xfId="0" applyFont="1" applyFill="1" applyBorder="1" applyAlignment="1">
      <alignment horizontal="left" wrapText="1"/>
    </xf>
    <xf numFmtId="0" fontId="23" fillId="0" borderId="33" xfId="0" applyFont="1" applyFill="1" applyBorder="1" applyAlignment="1">
      <alignment horizontal="left" wrapText="1"/>
    </xf>
    <xf numFmtId="0" fontId="27" fillId="0" borderId="43" xfId="0" applyFont="1" applyBorder="1" applyAlignment="1">
      <alignment wrapText="1"/>
    </xf>
    <xf numFmtId="0" fontId="23" fillId="0" borderId="0" xfId="0" applyFont="1" applyBorder="1" applyAlignment="1">
      <alignment wrapText="1"/>
    </xf>
    <xf numFmtId="0" fontId="27" fillId="0" borderId="50" xfId="0" applyFont="1" applyBorder="1" applyAlignment="1">
      <alignment wrapText="1"/>
    </xf>
    <xf numFmtId="0" fontId="26" fillId="0" borderId="43" xfId="0" applyFont="1" applyBorder="1" applyAlignment="1">
      <alignment wrapText="1"/>
    </xf>
    <xf numFmtId="0" fontId="26" fillId="0" borderId="50" xfId="0" applyFont="1" applyBorder="1" applyAlignment="1">
      <alignment wrapText="1"/>
    </xf>
    <xf numFmtId="0" fontId="8" fillId="0" borderId="33" xfId="0" applyFont="1" applyBorder="1" applyAlignment="1">
      <alignment wrapText="1"/>
    </xf>
    <xf numFmtId="0" fontId="84" fillId="0" borderId="78" xfId="0" applyFont="1" applyBorder="1" applyAlignment="1">
      <alignment horizontal="center" wrapText="1"/>
    </xf>
    <xf numFmtId="0" fontId="0" fillId="0" borderId="81" xfId="0" applyBorder="1" applyAlignment="1">
      <alignment wrapText="1"/>
    </xf>
    <xf numFmtId="0" fontId="0" fillId="0" borderId="87" xfId="0" applyBorder="1" applyAlignment="1">
      <alignment wrapText="1"/>
    </xf>
    <xf numFmtId="0" fontId="0" fillId="0" borderId="137" xfId="0" applyBorder="1" applyAlignment="1">
      <alignment wrapText="1"/>
    </xf>
    <xf numFmtId="0" fontId="5" fillId="0" borderId="68" xfId="0" applyFont="1" applyBorder="1" applyAlignment="1">
      <alignment vertical="top" wrapText="1"/>
    </xf>
    <xf numFmtId="0" fontId="5" fillId="0" borderId="102" xfId="0" applyFont="1" applyBorder="1" applyAlignment="1">
      <alignment vertical="top" wrapText="1"/>
    </xf>
    <xf numFmtId="0" fontId="5" fillId="0" borderId="102" xfId="0" applyFont="1" applyBorder="1" applyAlignment="1">
      <alignment wrapText="1"/>
    </xf>
    <xf numFmtId="0" fontId="5" fillId="0" borderId="136" xfId="0" applyFont="1" applyBorder="1" applyAlignment="1">
      <alignment wrapText="1"/>
    </xf>
    <xf numFmtId="0" fontId="31" fillId="0" borderId="68" xfId="0" applyFont="1" applyBorder="1" applyAlignment="1">
      <alignment wrapText="1"/>
    </xf>
    <xf numFmtId="0" fontId="26" fillId="0" borderId="43" xfId="0" applyFont="1" applyFill="1" applyBorder="1" applyAlignment="1">
      <alignment wrapText="1"/>
    </xf>
    <xf numFmtId="0" fontId="8" fillId="0" borderId="0" xfId="0" applyFont="1" applyBorder="1" applyAlignment="1">
      <alignment/>
    </xf>
    <xf numFmtId="0" fontId="87" fillId="0" borderId="49" xfId="0" applyFont="1" applyBorder="1" applyAlignment="1">
      <alignment wrapText="1"/>
    </xf>
    <xf numFmtId="0" fontId="85" fillId="0" borderId="29" xfId="0" applyFont="1" applyBorder="1" applyAlignment="1">
      <alignment wrapText="1"/>
    </xf>
    <xf numFmtId="0" fontId="85" fillId="0" borderId="30" xfId="0" applyFont="1" applyBorder="1" applyAlignment="1">
      <alignment wrapText="1"/>
    </xf>
    <xf numFmtId="0" fontId="49" fillId="0" borderId="0" xfId="0" applyFont="1" applyFill="1" applyBorder="1" applyAlignment="1">
      <alignment horizontal="center"/>
    </xf>
    <xf numFmtId="0" fontId="27" fillId="0" borderId="0" xfId="0" applyFont="1" applyBorder="1" applyAlignment="1">
      <alignment wrapText="1"/>
    </xf>
    <xf numFmtId="0" fontId="31" fillId="0" borderId="81" xfId="0" applyFont="1" applyBorder="1" applyAlignment="1">
      <alignment vertical="center" wrapText="1"/>
    </xf>
    <xf numFmtId="0" fontId="23" fillId="0" borderId="87" xfId="0" applyFont="1" applyBorder="1" applyAlignment="1">
      <alignment vertical="center" wrapText="1"/>
    </xf>
    <xf numFmtId="0" fontId="0" fillId="0" borderId="87" xfId="0" applyBorder="1" applyAlignment="1">
      <alignment vertical="center" wrapText="1"/>
    </xf>
    <xf numFmtId="0" fontId="0" fillId="0" borderId="137" xfId="0" applyBorder="1" applyAlignment="1">
      <alignment vertical="center" wrapText="1"/>
    </xf>
    <xf numFmtId="0" fontId="31" fillId="0" borderId="68" xfId="0" applyFont="1" applyFill="1" applyBorder="1" applyAlignment="1">
      <alignment vertical="center" wrapText="1"/>
    </xf>
    <xf numFmtId="0" fontId="31" fillId="0" borderId="102" xfId="0" applyFont="1" applyFill="1" applyBorder="1" applyAlignment="1">
      <alignment vertical="center" wrapText="1"/>
    </xf>
    <xf numFmtId="0" fontId="0" fillId="0" borderId="102" xfId="0" applyBorder="1" applyAlignment="1">
      <alignment vertical="center" wrapText="1"/>
    </xf>
    <xf numFmtId="0" fontId="0" fillId="0" borderId="136" xfId="0" applyBorder="1" applyAlignment="1">
      <alignment vertical="center" wrapText="1"/>
    </xf>
    <xf numFmtId="0" fontId="31" fillId="0" borderId="68" xfId="0" applyNumberFormat="1" applyFont="1" applyFill="1" applyBorder="1" applyAlignment="1">
      <alignment vertical="center" wrapText="1"/>
    </xf>
    <xf numFmtId="0" fontId="23" fillId="0" borderId="102" xfId="0" applyFont="1" applyFill="1" applyBorder="1" applyAlignment="1">
      <alignment vertical="center" wrapText="1"/>
    </xf>
    <xf numFmtId="0" fontId="84" fillId="0" borderId="60" xfId="0" applyFont="1" applyBorder="1" applyAlignment="1">
      <alignment horizontal="center" wrapText="1"/>
    </xf>
    <xf numFmtId="0" fontId="0" fillId="0" borderId="60" xfId="0" applyBorder="1" applyAlignment="1">
      <alignment wrapText="1"/>
    </xf>
    <xf numFmtId="0" fontId="0" fillId="0" borderId="138" xfId="0" applyBorder="1" applyAlignment="1">
      <alignment wrapText="1"/>
    </xf>
    <xf numFmtId="0" fontId="5" fillId="0" borderId="78" xfId="0" applyFont="1" applyBorder="1" applyAlignment="1">
      <alignment vertical="center" wrapText="1"/>
    </xf>
    <xf numFmtId="0" fontId="5" fillId="0" borderId="33" xfId="0" applyFont="1" applyBorder="1" applyAlignment="1">
      <alignment vertical="center" wrapText="1"/>
    </xf>
    <xf numFmtId="0" fontId="5" fillId="0" borderId="38" xfId="0" applyFont="1" applyBorder="1" applyAlignment="1">
      <alignment vertical="center" wrapText="1"/>
    </xf>
    <xf numFmtId="0" fontId="31" fillId="0" borderId="68" xfId="0" applyFont="1" applyBorder="1" applyAlignment="1">
      <alignment vertical="center" wrapText="1"/>
    </xf>
    <xf numFmtId="0" fontId="5" fillId="0" borderId="68" xfId="0" applyFont="1" applyBorder="1" applyAlignment="1">
      <alignment vertical="center" wrapText="1"/>
    </xf>
    <xf numFmtId="0" fontId="5" fillId="0" borderId="102" xfId="0" applyFont="1" applyBorder="1" applyAlignment="1">
      <alignment vertical="center" wrapText="1"/>
    </xf>
    <xf numFmtId="0" fontId="5" fillId="0" borderId="136" xfId="0" applyFont="1" applyBorder="1" applyAlignment="1">
      <alignment vertical="center" wrapText="1"/>
    </xf>
    <xf numFmtId="0" fontId="26" fillId="0" borderId="33" xfId="0" applyFont="1" applyFill="1" applyBorder="1" applyAlignment="1">
      <alignment horizontal="left" wrapText="1"/>
    </xf>
    <xf numFmtId="0" fontId="8" fillId="0" borderId="0" xfId="0" applyFont="1" applyBorder="1" applyAlignment="1">
      <alignment wrapText="1"/>
    </xf>
    <xf numFmtId="0" fontId="5" fillId="0" borderId="47" xfId="0" applyFont="1" applyBorder="1" applyAlignment="1">
      <alignment vertical="center" wrapText="1"/>
    </xf>
    <xf numFmtId="0" fontId="5" fillId="0" borderId="47" xfId="0" applyFont="1" applyBorder="1" applyAlignment="1">
      <alignment vertical="center" wrapText="1"/>
    </xf>
    <xf numFmtId="0" fontId="5" fillId="0" borderId="127" xfId="0" applyFont="1" applyBorder="1" applyAlignment="1">
      <alignment vertical="center" wrapText="1"/>
    </xf>
    <xf numFmtId="0" fontId="87" fillId="0" borderId="41" xfId="0" applyFont="1" applyBorder="1" applyAlignment="1">
      <alignment wrapText="1"/>
    </xf>
    <xf numFmtId="0" fontId="85" fillId="0" borderId="139" xfId="0" applyFont="1" applyBorder="1" applyAlignment="1">
      <alignment wrapText="1"/>
    </xf>
    <xf numFmtId="0" fontId="85" fillId="0" borderId="140" xfId="0" applyFont="1" applyBorder="1" applyAlignment="1">
      <alignment wrapText="1"/>
    </xf>
    <xf numFmtId="0" fontId="83" fillId="0" borderId="47" xfId="0" applyFont="1" applyFill="1" applyBorder="1" applyAlignment="1">
      <alignment wrapText="1"/>
    </xf>
    <xf numFmtId="0" fontId="0" fillId="0" borderId="127" xfId="0" applyBorder="1" applyAlignment="1">
      <alignment wrapText="1"/>
    </xf>
    <xf numFmtId="0" fontId="0" fillId="0" borderId="109" xfId="0" applyBorder="1" applyAlignment="1">
      <alignment wrapText="1"/>
    </xf>
    <xf numFmtId="0" fontId="0" fillId="0" borderId="69" xfId="0" applyBorder="1" applyAlignment="1">
      <alignment wrapText="1"/>
    </xf>
    <xf numFmtId="0" fontId="0" fillId="0" borderId="129" xfId="0" applyBorder="1" applyAlignment="1">
      <alignment wrapText="1"/>
    </xf>
    <xf numFmtId="0" fontId="0" fillId="0" borderId="110" xfId="0" applyBorder="1" applyAlignment="1">
      <alignment wrapText="1"/>
    </xf>
    <xf numFmtId="0" fontId="0" fillId="0" borderId="141" xfId="0" applyBorder="1" applyAlignment="1">
      <alignment wrapText="1"/>
    </xf>
    <xf numFmtId="0" fontId="84" fillId="0" borderId="47" xfId="0" applyFont="1" applyBorder="1" applyAlignment="1">
      <alignment horizontal="center" wrapText="1"/>
    </xf>
    <xf numFmtId="0" fontId="94" fillId="0" borderId="50" xfId="0" applyFont="1" applyFill="1" applyBorder="1" applyAlignment="1">
      <alignment wrapText="1"/>
    </xf>
    <xf numFmtId="0" fontId="95" fillId="0" borderId="33" xfId="0" applyFont="1" applyBorder="1" applyAlignment="1">
      <alignment wrapText="1"/>
    </xf>
    <xf numFmtId="0" fontId="95" fillId="0" borderId="38" xfId="0" applyFont="1" applyBorder="1" applyAlignment="1">
      <alignment wrapText="1"/>
    </xf>
    <xf numFmtId="0" fontId="8" fillId="0" borderId="50" xfId="0" applyFont="1" applyFill="1" applyBorder="1" applyAlignment="1">
      <alignment horizontal="left" wrapText="1"/>
    </xf>
    <xf numFmtId="0" fontId="8" fillId="0" borderId="33" xfId="0" applyFont="1" applyFill="1" applyBorder="1" applyAlignment="1">
      <alignment horizontal="left" wrapText="1"/>
    </xf>
    <xf numFmtId="0" fontId="26" fillId="0" borderId="50" xfId="0" applyFont="1" applyFill="1" applyBorder="1" applyAlignment="1">
      <alignment wrapText="1"/>
    </xf>
    <xf numFmtId="0" fontId="23" fillId="0" borderId="33" xfId="0" applyFont="1" applyBorder="1" applyAlignment="1">
      <alignment wrapText="1"/>
    </xf>
    <xf numFmtId="0" fontId="23" fillId="0" borderId="43" xfId="0" applyFont="1" applyFill="1" applyBorder="1" applyAlignment="1">
      <alignment wrapText="1"/>
    </xf>
    <xf numFmtId="0" fontId="23" fillId="0" borderId="50" xfId="0" applyFont="1" applyFill="1" applyBorder="1" applyAlignment="1">
      <alignment wrapText="1"/>
    </xf>
    <xf numFmtId="0" fontId="5" fillId="0" borderId="60" xfId="0" applyFont="1" applyBorder="1" applyAlignment="1">
      <alignment vertical="center" wrapText="1"/>
    </xf>
    <xf numFmtId="0" fontId="5" fillId="0" borderId="60" xfId="0" applyFont="1" applyBorder="1" applyAlignment="1">
      <alignment vertical="center" wrapText="1"/>
    </xf>
    <xf numFmtId="0" fontId="5" fillId="0" borderId="60" xfId="0" applyFont="1" applyBorder="1" applyAlignment="1">
      <alignment wrapText="1"/>
    </xf>
    <xf numFmtId="0" fontId="5" fillId="0" borderId="141" xfId="0" applyFont="1" applyBorder="1" applyAlignment="1">
      <alignment wrapText="1"/>
    </xf>
    <xf numFmtId="0" fontId="83" fillId="0" borderId="47" xfId="0" applyNumberFormat="1" applyFont="1" applyFill="1" applyBorder="1" applyAlignment="1">
      <alignment wrapText="1"/>
    </xf>
    <xf numFmtId="0" fontId="5" fillId="0" borderId="47" xfId="0" applyFont="1" applyBorder="1" applyAlignment="1">
      <alignment wrapText="1"/>
    </xf>
    <xf numFmtId="0" fontId="5" fillId="0" borderId="127" xfId="0" applyFont="1" applyBorder="1" applyAlignment="1">
      <alignment wrapText="1"/>
    </xf>
    <xf numFmtId="0" fontId="5" fillId="0" borderId="47"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83"/>
  <sheetViews>
    <sheetView tabSelected="1" zoomScalePageLayoutView="0" workbookViewId="0" topLeftCell="A1">
      <selection activeCell="A6" sqref="A6"/>
    </sheetView>
  </sheetViews>
  <sheetFormatPr defaultColWidth="9.140625" defaultRowHeight="12.75"/>
  <cols>
    <col min="1" max="1" width="135.421875" style="4" customWidth="1"/>
  </cols>
  <sheetData>
    <row r="1" ht="20.25">
      <c r="A1" s="676" t="s">
        <v>161</v>
      </c>
    </row>
    <row r="2" ht="20.25">
      <c r="A2" s="676"/>
    </row>
    <row r="3" ht="49.5" customHeight="1">
      <c r="A3" s="114" t="s">
        <v>433</v>
      </c>
    </row>
    <row r="4" ht="14.25" customHeight="1">
      <c r="A4" s="694">
        <v>39553</v>
      </c>
    </row>
    <row r="5" ht="15.75">
      <c r="A5" s="17"/>
    </row>
    <row r="6" ht="18">
      <c r="A6" s="13" t="s">
        <v>277</v>
      </c>
    </row>
    <row r="7" ht="18">
      <c r="A7" s="13"/>
    </row>
    <row r="8" ht="75">
      <c r="A8" s="658" t="s">
        <v>434</v>
      </c>
    </row>
    <row r="9" ht="15.75">
      <c r="A9" s="17"/>
    </row>
    <row r="10" ht="78" customHeight="1">
      <c r="A10" s="659" t="s">
        <v>253</v>
      </c>
    </row>
    <row r="11" ht="124.5" customHeight="1">
      <c r="A11" s="658" t="s">
        <v>211</v>
      </c>
    </row>
    <row r="12" ht="15.75">
      <c r="A12" s="17"/>
    </row>
    <row r="13" ht="25.5" customHeight="1">
      <c r="A13" s="36"/>
    </row>
    <row r="14" ht="12.75">
      <c r="A14" s="36"/>
    </row>
    <row r="15" ht="12.75">
      <c r="A15" s="36"/>
    </row>
    <row r="16" ht="12.75">
      <c r="A16" s="36"/>
    </row>
    <row r="17" ht="25.5" customHeight="1">
      <c r="A17" s="36"/>
    </row>
    <row r="18" ht="12.75">
      <c r="A18" s="36"/>
    </row>
    <row r="19" ht="15.75">
      <c r="A19" s="103"/>
    </row>
    <row r="20" ht="51.75" customHeight="1">
      <c r="A20" s="110"/>
    </row>
    <row r="21" ht="12.75">
      <c r="A21" s="104"/>
    </row>
    <row r="22" ht="12.75">
      <c r="A22" s="104"/>
    </row>
    <row r="23" ht="15.75">
      <c r="A23" s="17"/>
    </row>
    <row r="24" ht="12" customHeight="1"/>
    <row r="33" ht="15.75">
      <c r="A33" s="103"/>
    </row>
    <row r="34" ht="12.75">
      <c r="A34" s="36"/>
    </row>
    <row r="35" ht="12.75">
      <c r="A35" s="36"/>
    </row>
    <row r="36" ht="12.75">
      <c r="A36" s="36"/>
    </row>
    <row r="37" ht="12.75">
      <c r="A37" s="36"/>
    </row>
    <row r="38" ht="25.5" customHeight="1">
      <c r="A38" s="36"/>
    </row>
    <row r="39" ht="12.75">
      <c r="A39" s="36"/>
    </row>
    <row r="40" ht="12.75">
      <c r="A40" s="36"/>
    </row>
    <row r="41" ht="12.75">
      <c r="A41" s="36"/>
    </row>
    <row r="42" ht="12.75">
      <c r="A42" s="36"/>
    </row>
    <row r="43" ht="15.75">
      <c r="A43" s="17"/>
    </row>
    <row r="44" ht="49.5" customHeight="1"/>
    <row r="49" ht="15">
      <c r="A49" s="15"/>
    </row>
    <row r="50" ht="12.75">
      <c r="A50" s="14"/>
    </row>
    <row r="51" ht="12.75">
      <c r="A51" s="14"/>
    </row>
    <row r="52" ht="12.75">
      <c r="A52" s="14"/>
    </row>
    <row r="53" ht="12.75">
      <c r="A53" s="16"/>
    </row>
    <row r="54" ht="12.75">
      <c r="A54" s="16"/>
    </row>
    <row r="55" ht="12.75">
      <c r="A55" s="14"/>
    </row>
    <row r="56" ht="12.75">
      <c r="A56" s="105"/>
    </row>
    <row r="57" ht="12.75">
      <c r="A57" s="16"/>
    </row>
    <row r="58" ht="12.75">
      <c r="A58" s="14"/>
    </row>
    <row r="59" ht="12.75">
      <c r="A59" s="14"/>
    </row>
    <row r="60" ht="12.75">
      <c r="A60" s="14"/>
    </row>
    <row r="61" ht="12.75">
      <c r="A61" s="14"/>
    </row>
    <row r="62" ht="12.75">
      <c r="A62" s="14"/>
    </row>
    <row r="63" ht="12.75">
      <c r="A63" s="14"/>
    </row>
    <row r="64" ht="12.75">
      <c r="A64" s="14"/>
    </row>
    <row r="65" ht="12.75">
      <c r="A65" s="16"/>
    </row>
    <row r="66" ht="12.75">
      <c r="A66" s="14"/>
    </row>
    <row r="67" ht="12.75">
      <c r="A67" s="14"/>
    </row>
    <row r="68" ht="12.75">
      <c r="A68" s="14"/>
    </row>
    <row r="69" ht="12.75">
      <c r="A69" s="14"/>
    </row>
    <row r="70" ht="12.75">
      <c r="A70" s="14"/>
    </row>
    <row r="71" ht="12.75">
      <c r="A71" s="14"/>
    </row>
    <row r="72" ht="12.75">
      <c r="A72" s="14"/>
    </row>
    <row r="73" ht="12.75">
      <c r="A73" s="16"/>
    </row>
    <row r="74" ht="12.75">
      <c r="A74" s="14"/>
    </row>
    <row r="75" ht="12.75">
      <c r="A75" s="14"/>
    </row>
    <row r="76" ht="12.75">
      <c r="A76" s="14"/>
    </row>
    <row r="77" ht="12.75">
      <c r="A77" s="14"/>
    </row>
    <row r="78" ht="12.75">
      <c r="A78" s="14"/>
    </row>
    <row r="79" ht="12.75">
      <c r="A79" s="14"/>
    </row>
    <row r="80" ht="12.75">
      <c r="A80" s="18"/>
    </row>
    <row r="81" ht="12.75">
      <c r="A81" s="18"/>
    </row>
    <row r="82" ht="12.75">
      <c r="A82" s="18"/>
    </row>
    <row r="83" ht="12.75">
      <c r="A83" s="14"/>
    </row>
  </sheetData>
  <sheetProtection/>
  <printOptions/>
  <pageMargins left="0.75" right="0.75" top="0.75" bottom="0.75" header="0.5" footer="0.5"/>
  <pageSetup horizontalDpi="600" verticalDpi="600" orientation="landscape" r:id="rId1"/>
  <headerFooter alignWithMargins="0">
    <oddFooter>&amp;CPage &amp;P of &amp;N</oddFooter>
  </headerFooter>
  <rowBreaks count="1" manualBreakCount="1">
    <brk id="22" max="255" man="1"/>
  </rowBreaks>
</worksheet>
</file>

<file path=xl/worksheets/sheet2.xml><?xml version="1.0" encoding="utf-8"?>
<worksheet xmlns="http://schemas.openxmlformats.org/spreadsheetml/2006/main" xmlns:r="http://schemas.openxmlformats.org/officeDocument/2006/relationships">
  <sheetPr codeName="Sheet2"/>
  <dimension ref="A1:I91"/>
  <sheetViews>
    <sheetView zoomScale="130" zoomScaleNormal="130" zoomScalePageLayoutView="0" workbookViewId="0" topLeftCell="A73">
      <selection activeCell="A77" sqref="A77:C77"/>
    </sheetView>
  </sheetViews>
  <sheetFormatPr defaultColWidth="9.140625" defaultRowHeight="12.75"/>
  <cols>
    <col min="1" max="1" width="20.28125" style="0" customWidth="1"/>
    <col min="2" max="2" width="16.421875" style="0" customWidth="1"/>
    <col min="3" max="3" width="17.57421875" style="0" customWidth="1"/>
    <col min="4" max="4" width="16.57421875" style="0" customWidth="1"/>
    <col min="5" max="5" width="17.7109375" style="0" customWidth="1"/>
    <col min="6" max="6" width="15.00390625" style="0" customWidth="1"/>
    <col min="7" max="7" width="14.57421875" style="0" customWidth="1"/>
    <col min="8" max="8" width="13.28125" style="0" customWidth="1"/>
    <col min="9" max="9" width="15.00390625" style="0" customWidth="1"/>
    <col min="10" max="10" width="11.00390625" style="0" bestFit="1" customWidth="1"/>
  </cols>
  <sheetData>
    <row r="1" spans="1:6" ht="18" customHeight="1">
      <c r="A1" s="112" t="s">
        <v>410</v>
      </c>
      <c r="B1" s="119"/>
      <c r="C1" s="3"/>
      <c r="D1" s="3"/>
      <c r="E1" s="3"/>
      <c r="F1" s="3"/>
    </row>
    <row r="2" spans="1:6" ht="12" customHeight="1">
      <c r="A2" s="1" t="s">
        <v>437</v>
      </c>
      <c r="B2" s="3"/>
      <c r="C2" s="12"/>
      <c r="D2" s="3"/>
      <c r="E2" s="3"/>
      <c r="F2" s="3"/>
    </row>
    <row r="3" spans="1:6" ht="18">
      <c r="A3" s="9" t="s">
        <v>301</v>
      </c>
      <c r="B3" s="3"/>
      <c r="C3" s="3"/>
      <c r="D3" s="3"/>
      <c r="E3" s="3"/>
      <c r="F3" s="3"/>
    </row>
    <row r="5" ht="20.25">
      <c r="A5" s="111" t="s">
        <v>447</v>
      </c>
    </row>
    <row r="6" ht="20.25">
      <c r="A6" s="111"/>
    </row>
    <row r="7" spans="1:9" s="649" customFormat="1" ht="18" customHeight="1">
      <c r="A7" s="781" t="s">
        <v>362</v>
      </c>
      <c r="B7" s="782"/>
      <c r="C7" s="782"/>
      <c r="D7" s="782"/>
      <c r="E7" s="782"/>
      <c r="F7" s="782"/>
      <c r="G7" s="782"/>
      <c r="H7" s="782"/>
      <c r="I7" s="782"/>
    </row>
    <row r="8" spans="1:9" ht="18" customHeight="1" thickBot="1">
      <c r="A8" s="796" t="s">
        <v>445</v>
      </c>
      <c r="B8" s="797"/>
      <c r="C8" s="797"/>
      <c r="D8" s="797"/>
      <c r="E8" s="797"/>
      <c r="F8" s="797"/>
      <c r="G8" s="797"/>
      <c r="H8" s="797"/>
      <c r="I8" s="797"/>
    </row>
    <row r="9" spans="1:9" ht="13.5" thickTop="1">
      <c r="A9" s="559"/>
      <c r="B9" s="783" t="s">
        <v>34</v>
      </c>
      <c r="C9" s="784"/>
      <c r="D9" s="785" t="s">
        <v>37</v>
      </c>
      <c r="E9" s="786"/>
      <c r="F9" s="787" t="s">
        <v>35</v>
      </c>
      <c r="G9" s="784"/>
      <c r="H9" s="788" t="s">
        <v>36</v>
      </c>
      <c r="I9" s="789"/>
    </row>
    <row r="10" spans="1:9" ht="12.75">
      <c r="A10" s="600"/>
      <c r="B10" s="562" t="s">
        <v>377</v>
      </c>
      <c r="C10" s="563" t="s">
        <v>379</v>
      </c>
      <c r="D10" s="564" t="s">
        <v>377</v>
      </c>
      <c r="E10" s="564" t="s">
        <v>379</v>
      </c>
      <c r="F10" s="565" t="s">
        <v>377</v>
      </c>
      <c r="G10" s="563" t="s">
        <v>379</v>
      </c>
      <c r="H10" s="566" t="s">
        <v>377</v>
      </c>
      <c r="I10" s="567" t="s">
        <v>379</v>
      </c>
    </row>
    <row r="11" spans="1:9" ht="12.75">
      <c r="A11" s="601"/>
      <c r="B11" s="562" t="s">
        <v>351</v>
      </c>
      <c r="C11" s="563" t="s">
        <v>380</v>
      </c>
      <c r="D11" s="564" t="s">
        <v>351</v>
      </c>
      <c r="E11" s="564" t="s">
        <v>380</v>
      </c>
      <c r="F11" s="565" t="s">
        <v>351</v>
      </c>
      <c r="G11" s="563" t="s">
        <v>380</v>
      </c>
      <c r="H11" s="566" t="s">
        <v>351</v>
      </c>
      <c r="I11" s="567" t="s">
        <v>380</v>
      </c>
    </row>
    <row r="12" spans="1:9" ht="13.5" thickBot="1">
      <c r="A12" s="602"/>
      <c r="B12" s="569" t="s">
        <v>435</v>
      </c>
      <c r="C12" s="569" t="s">
        <v>435</v>
      </c>
      <c r="D12" s="570" t="s">
        <v>19</v>
      </c>
      <c r="E12" s="570" t="s">
        <v>19</v>
      </c>
      <c r="F12" s="571" t="s">
        <v>31</v>
      </c>
      <c r="G12" s="572" t="s">
        <v>31</v>
      </c>
      <c r="H12" s="696" t="s">
        <v>436</v>
      </c>
      <c r="I12" s="696" t="s">
        <v>436</v>
      </c>
    </row>
    <row r="13" spans="1:9" ht="15" customHeight="1">
      <c r="A13" s="603" t="s">
        <v>357</v>
      </c>
      <c r="B13" s="574">
        <f>SUM('P&amp;T 2008-30'!B122/1000)</f>
        <v>905.0420020999999</v>
      </c>
      <c r="C13" s="604">
        <f>SUM('P&amp;T 2008-30'!C122/1000)</f>
        <v>20815.966048299997</v>
      </c>
      <c r="D13" s="605">
        <f>SUM('P&amp;T 2008-30'!D122)</f>
        <v>4000</v>
      </c>
      <c r="E13" s="606">
        <f>SUM('P&amp;T 2008-30'!E122)</f>
        <v>92000</v>
      </c>
      <c r="F13" s="607">
        <f>SUM('P&amp;T 2008-30'!F122)</f>
        <v>597.9096365255691</v>
      </c>
      <c r="G13" s="608">
        <f>SUM('P&amp;T 2008-30'!G122)</f>
        <v>13751.92164008809</v>
      </c>
      <c r="H13" s="697">
        <f>SUM('P&amp;T 2008-30'!H122/1000)</f>
        <v>94.80083899194</v>
      </c>
      <c r="I13" s="698">
        <f>SUM('P&amp;T 2008-30'!I122/1000)</f>
        <v>2180.41929681462</v>
      </c>
    </row>
    <row r="14" spans="1:9" ht="15" customHeight="1">
      <c r="A14" s="573" t="s">
        <v>312</v>
      </c>
      <c r="B14" s="609">
        <f>SUM('SVE 2008-20030'!B122/1000)</f>
        <v>232.1481195</v>
      </c>
      <c r="C14" s="610">
        <f>SUM('SVE 2008-20030'!C122/1000)</f>
        <v>5339.4067485</v>
      </c>
      <c r="D14" s="611">
        <f>SUM('SVE 2008-20030'!D122)</f>
        <v>2000</v>
      </c>
      <c r="E14" s="612">
        <f>SUM('SVE 2008-20030'!E122)</f>
        <v>46000</v>
      </c>
      <c r="F14" s="613">
        <f>SUM('SVE 2008-20030'!F122)</f>
        <v>162.0101984537018</v>
      </c>
      <c r="G14" s="610">
        <f>SUM('SVE 2008-20030'!G122)</f>
        <v>3726.2345644351417</v>
      </c>
      <c r="H14" s="699">
        <f>SUM('SVE 2008-20030'!H122/1000)</f>
        <v>27.2583381223</v>
      </c>
      <c r="I14" s="700">
        <f>SUM('SVE 2008-20030'!I122/1000)</f>
        <v>626.9417768129</v>
      </c>
    </row>
    <row r="15" spans="1:9" ht="15" customHeight="1">
      <c r="A15" s="585" t="s">
        <v>315</v>
      </c>
      <c r="B15" s="609">
        <f>SUM('Multi-Phase Extraction'!B122/1000)</f>
        <v>1669.4433855000002</v>
      </c>
      <c r="C15" s="610">
        <f>SUM('Multi-Phase Extraction'!C122/1000)</f>
        <v>38397.197866500006</v>
      </c>
      <c r="D15" s="611">
        <f>SUM('Multi-Phase Extraction'!D122)</f>
        <v>3952</v>
      </c>
      <c r="E15" s="612">
        <f>SUM('Multi-Phase Extraction'!E122)</f>
        <v>90896</v>
      </c>
      <c r="F15" s="613">
        <f>SUM('Multi-Phase Extraction'!F122)</f>
        <v>1072.499735162976</v>
      </c>
      <c r="G15" s="610">
        <f>SUM('Multi-Phase Extraction'!G122)</f>
        <v>24667.49390874845</v>
      </c>
      <c r="H15" s="699">
        <f>SUM('Multi-Phase Extraction'!H122/1000)</f>
        <v>164.5221654347</v>
      </c>
      <c r="I15" s="700">
        <f>SUM('Multi-Phase Extraction'!I122/1000)</f>
        <v>3784.0098049980998</v>
      </c>
    </row>
    <row r="16" spans="1:9" ht="15" customHeight="1">
      <c r="A16" s="585" t="s">
        <v>306</v>
      </c>
      <c r="B16" s="609">
        <f>SUM('Air Sparging 2008-2030'!B123/1000)</f>
        <v>949.8902589</v>
      </c>
      <c r="C16" s="610">
        <f>SUM('Air Sparging 2008-2030'!C123/1000)</f>
        <v>21847.4759547</v>
      </c>
      <c r="D16" s="611">
        <f>SUM('Air Sparging 2008-2030'!D123)</f>
        <v>1976</v>
      </c>
      <c r="E16" s="612">
        <f>SUM('Air Sparging 2008-2030'!E123)</f>
        <v>45448</v>
      </c>
      <c r="F16" s="613">
        <f>SUM('Air Sparging 2008-2030'!F123)</f>
        <v>607.818181225336</v>
      </c>
      <c r="G16" s="610">
        <f>SUM('Air Sparging 2008-2030'!G123)</f>
        <v>13979.81816818273</v>
      </c>
      <c r="H16" s="699">
        <f>SUM('Air Sparging 2008-2030'!H123/1000)</f>
        <v>92.78748966346001</v>
      </c>
      <c r="I16" s="700">
        <f>SUM('Air Sparging 2008-2030'!I123/1000)</f>
        <v>2134.1122622595803</v>
      </c>
    </row>
    <row r="17" spans="1:9" ht="15" customHeight="1">
      <c r="A17" s="586" t="s">
        <v>154</v>
      </c>
      <c r="B17" s="609">
        <f>SUM('Thermal Desorption 2008-2030'!B122/1000)</f>
        <v>112969.469448</v>
      </c>
      <c r="C17" s="610">
        <f>SUM('Thermal Desorption 2008-2030'!C122/1000)</f>
        <v>2598297.797304</v>
      </c>
      <c r="D17" s="613">
        <f>SUM('Thermal Desorption 2008-2030'!D122)</f>
        <v>1976</v>
      </c>
      <c r="E17" s="614">
        <f>SUM('Thermal Desorption 2008-2030'!E122)</f>
        <v>45448</v>
      </c>
      <c r="F17" s="613">
        <f>SUM('Thermal Desorption 2008-2030'!F122)</f>
        <v>70219.28114947701</v>
      </c>
      <c r="G17" s="610">
        <f>SUM('Thermal Desorption 2008-2030'!G122)</f>
        <v>1615043.4664379712</v>
      </c>
      <c r="H17" s="701">
        <f>SUM('Thermal Desorption 2008-2030'!H122/1000)</f>
        <v>10331.3770275472</v>
      </c>
      <c r="I17" s="700">
        <f>SUM('Thermal Desorption 2008-2030'!I122/1000)</f>
        <v>237621.67163358556</v>
      </c>
    </row>
    <row r="18" spans="1:9" ht="15" customHeight="1">
      <c r="A18" s="588"/>
      <c r="B18" s="615"/>
      <c r="C18" s="616"/>
      <c r="D18" s="617"/>
      <c r="E18" s="614"/>
      <c r="F18" s="613"/>
      <c r="G18" s="618"/>
      <c r="H18" s="702"/>
      <c r="I18" s="703"/>
    </row>
    <row r="19" spans="1:9" ht="15" customHeight="1" thickBot="1">
      <c r="A19" s="595" t="s">
        <v>83</v>
      </c>
      <c r="B19" s="596">
        <f aca="true" t="shared" si="0" ref="B19:I19">SUM(B13:B17)</f>
        <v>116725.993214</v>
      </c>
      <c r="C19" s="597">
        <f t="shared" si="0"/>
        <v>2684697.843922</v>
      </c>
      <c r="D19" s="598">
        <f t="shared" si="0"/>
        <v>13904</v>
      </c>
      <c r="E19" s="599">
        <f t="shared" si="0"/>
        <v>319792</v>
      </c>
      <c r="F19" s="598">
        <f t="shared" si="0"/>
        <v>72659.5189008446</v>
      </c>
      <c r="G19" s="597">
        <f t="shared" si="0"/>
        <v>1671168.9347194256</v>
      </c>
      <c r="H19" s="704">
        <f t="shared" si="0"/>
        <v>10710.7458597596</v>
      </c>
      <c r="I19" s="705">
        <f t="shared" si="0"/>
        <v>246347.15477447075</v>
      </c>
    </row>
    <row r="20" spans="1:7" ht="15" customHeight="1" thickTop="1">
      <c r="A20" s="224" t="s">
        <v>155</v>
      </c>
      <c r="B20" s="116"/>
      <c r="C20" s="117"/>
      <c r="D20" s="132"/>
      <c r="E20" s="117"/>
      <c r="F20" s="116"/>
      <c r="G20" s="225"/>
    </row>
    <row r="26" spans="1:9" ht="16.5" customHeight="1">
      <c r="A26" s="781" t="s">
        <v>363</v>
      </c>
      <c r="B26" s="782"/>
      <c r="C26" s="782"/>
      <c r="D26" s="782"/>
      <c r="E26" s="782"/>
      <c r="F26" s="782"/>
      <c r="G26" s="782"/>
      <c r="H26" s="782"/>
      <c r="I26" s="782"/>
    </row>
    <row r="27" spans="1:9" ht="18" customHeight="1" thickBot="1">
      <c r="A27" s="796" t="s">
        <v>446</v>
      </c>
      <c r="B27" s="797"/>
      <c r="C27" s="797"/>
      <c r="D27" s="797"/>
      <c r="E27" s="797"/>
      <c r="F27" s="797"/>
      <c r="G27" s="797"/>
      <c r="H27" s="797"/>
      <c r="I27" s="797"/>
    </row>
    <row r="28" spans="1:9" ht="13.5" thickTop="1">
      <c r="A28" s="560"/>
      <c r="B28" s="737" t="s">
        <v>39</v>
      </c>
      <c r="C28" s="738"/>
      <c r="D28" s="739" t="s">
        <v>40</v>
      </c>
      <c r="E28" s="740"/>
      <c r="F28" s="741" t="s">
        <v>41</v>
      </c>
      <c r="G28" s="738"/>
      <c r="H28" s="742" t="s">
        <v>42</v>
      </c>
      <c r="I28" s="743"/>
    </row>
    <row r="29" spans="1:9" ht="12.75">
      <c r="A29" s="561"/>
      <c r="B29" s="562" t="s">
        <v>377</v>
      </c>
      <c r="C29" s="563" t="s">
        <v>379</v>
      </c>
      <c r="D29" s="564" t="s">
        <v>377</v>
      </c>
      <c r="E29" s="564" t="s">
        <v>379</v>
      </c>
      <c r="F29" s="565" t="s">
        <v>377</v>
      </c>
      <c r="G29" s="563" t="s">
        <v>379</v>
      </c>
      <c r="H29" s="566" t="s">
        <v>377</v>
      </c>
      <c r="I29" s="567" t="s">
        <v>379</v>
      </c>
    </row>
    <row r="30" spans="1:9" ht="12.75">
      <c r="A30" s="561"/>
      <c r="B30" s="562" t="s">
        <v>351</v>
      </c>
      <c r="C30" s="563" t="s">
        <v>380</v>
      </c>
      <c r="D30" s="564" t="s">
        <v>351</v>
      </c>
      <c r="E30" s="564" t="s">
        <v>380</v>
      </c>
      <c r="F30" s="565" t="s">
        <v>351</v>
      </c>
      <c r="G30" s="563" t="s">
        <v>380</v>
      </c>
      <c r="H30" s="566" t="s">
        <v>351</v>
      </c>
      <c r="I30" s="567" t="s">
        <v>380</v>
      </c>
    </row>
    <row r="31" spans="1:9" ht="13.5" thickBot="1">
      <c r="A31" s="568"/>
      <c r="B31" s="569" t="s">
        <v>435</v>
      </c>
      <c r="C31" s="569" t="s">
        <v>435</v>
      </c>
      <c r="D31" s="570" t="s">
        <v>19</v>
      </c>
      <c r="E31" s="570" t="s">
        <v>19</v>
      </c>
      <c r="F31" s="571" t="s">
        <v>31</v>
      </c>
      <c r="G31" s="572" t="s">
        <v>31</v>
      </c>
      <c r="H31" s="696" t="s">
        <v>436</v>
      </c>
      <c r="I31" s="696" t="s">
        <v>436</v>
      </c>
    </row>
    <row r="32" spans="1:9" ht="15" customHeight="1">
      <c r="A32" s="573" t="s">
        <v>66</v>
      </c>
      <c r="B32" s="574">
        <f>SUM(+'P&amp;T 2008-30'!B134/1000)</f>
        <v>489607.32784551446</v>
      </c>
      <c r="C32" s="575">
        <f>SUM('P&amp;T 2008-30'!C134/1000)</f>
        <v>11260968.540446833</v>
      </c>
      <c r="D32" s="576">
        <f>SUM('P&amp;T 2008-30'!D134)</f>
        <v>2163909.8592527723</v>
      </c>
      <c r="E32" s="577">
        <f>SUM('P&amp;T 2008-30'!E134)</f>
        <v>49769926.76281376</v>
      </c>
      <c r="F32" s="578">
        <f>SUM('P&amp;T 2008-30'!F134)</f>
        <v>323455.6393549801</v>
      </c>
      <c r="G32" s="579">
        <f>SUM('P&amp;T 2008-30'!G134)</f>
        <v>7439479.705164542</v>
      </c>
      <c r="H32" s="580">
        <f>SUM('P&amp;T 2008-30'!H134/1000)</f>
        <v>51285.11754002339</v>
      </c>
      <c r="I32" s="706">
        <f>SUM('P&amp;T 2008-30'!I134/1000)</f>
        <v>1179557.703420538</v>
      </c>
    </row>
    <row r="33" spans="1:9" ht="15" customHeight="1">
      <c r="A33" s="573" t="s">
        <v>312</v>
      </c>
      <c r="B33" s="581">
        <f>SUM('SVE 2008-20030'!B133/1000)</f>
        <v>6734.343031963789</v>
      </c>
      <c r="C33" s="582">
        <f>SUM('SVE 2008-20030'!C133/1000)</f>
        <v>154889.88973516715</v>
      </c>
      <c r="D33" s="583">
        <f>SUM('SVE 2008-20030'!D133)</f>
        <v>58017.64017273281</v>
      </c>
      <c r="E33" s="584">
        <f>SUM('SVE 2008-20030'!E133)</f>
        <v>1334405.7239728547</v>
      </c>
      <c r="F33" s="581">
        <f>SUM('SVE 2008-20030'!F133)</f>
        <v>4699.724699099953</v>
      </c>
      <c r="G33" s="582">
        <f>SUM('SVE 2008-20030'!G133)</f>
        <v>108093.66807929892</v>
      </c>
      <c r="H33" s="707">
        <f>SUM('SVE 2008-20030'!H133/1000)</f>
        <v>790.7322264431433</v>
      </c>
      <c r="I33" s="708">
        <f>SUM('SVE 2008-20030'!I133/1000)</f>
        <v>18186.841208192298</v>
      </c>
    </row>
    <row r="34" spans="1:9" ht="15" customHeight="1">
      <c r="A34" s="585" t="s">
        <v>315</v>
      </c>
      <c r="B34" s="581">
        <f>SUM('Multi-Phase Extraction'!B134/1000)</f>
        <v>18679.36111865463</v>
      </c>
      <c r="C34" s="582">
        <f>SUM('Multi-Phase Extraction'!C134/1000)</f>
        <v>429625.30572905653</v>
      </c>
      <c r="D34" s="583">
        <f>SUM('Multi-Phase Extraction'!D134)</f>
        <v>44218.83112784546</v>
      </c>
      <c r="E34" s="584">
        <f>SUM('Multi-Phase Extraction'!E134)</f>
        <v>1017033.1159404455</v>
      </c>
      <c r="F34" s="581">
        <f>SUM('Multi-Phase Extraction'!F134)</f>
        <v>12000.173247426776</v>
      </c>
      <c r="G34" s="582">
        <f>SUM('Multi-Phase Extraction'!G134)</f>
        <v>276003.98469081585</v>
      </c>
      <c r="H34" s="707">
        <f>SUM('Multi-Phase Extraction'!H134/1000)</f>
        <v>1840.8344762511265</v>
      </c>
      <c r="I34" s="708">
        <f>SUM('Multi-Phase Extraction'!I134/1000)</f>
        <v>42339.19295377591</v>
      </c>
    </row>
    <row r="35" spans="1:9" ht="15" customHeight="1">
      <c r="A35" s="585" t="s">
        <v>306</v>
      </c>
      <c r="B35" s="581">
        <f>SUM('Air Sparging 2008-2030'!B134/1000)</f>
        <v>10156.493118477</v>
      </c>
      <c r="C35" s="582">
        <f>SUM('Air Sparging 2008-2030'!C134/1000)</f>
        <v>233599.341724971</v>
      </c>
      <c r="D35" s="583">
        <f>SUM('Air Sparging 2008-2030'!D134)</f>
        <v>21127.946322295473</v>
      </c>
      <c r="E35" s="584">
        <f>SUM('Air Sparging 2008-2030'!E134)</f>
        <v>485942.7654127959</v>
      </c>
      <c r="F35" s="581">
        <f>SUM('Air Sparging 2008-2030'!F134)</f>
        <v>6498.962503362431</v>
      </c>
      <c r="G35" s="582">
        <f>SUM('Air Sparging 2008-2030'!G134)</f>
        <v>149476.1375773359</v>
      </c>
      <c r="H35" s="707">
        <f>SUM('Air Sparging 2008-2030'!H134)/1000</f>
        <v>992.1098689221301</v>
      </c>
      <c r="I35" s="708">
        <f>SUM('Air Sparging 2008-2030'!I134)/1000</f>
        <v>22818.52698520899</v>
      </c>
    </row>
    <row r="36" spans="1:9" ht="15" customHeight="1">
      <c r="A36" s="586" t="s">
        <v>309</v>
      </c>
      <c r="B36" s="581">
        <f>SUM('Thermal Desorption 2008-2030'!B133/1000)</f>
        <v>92918.51831567448</v>
      </c>
      <c r="C36" s="587">
        <f>SUM('Thermal Desorption 2008-2030'!C133/1000)</f>
        <v>2137125.921260513</v>
      </c>
      <c r="D36" s="581">
        <f>SUM('Thermal Desorption 2008-2030'!D133)</f>
        <v>1625.2797599999997</v>
      </c>
      <c r="E36" s="584">
        <f>SUM('Thermal Desorption 2008-2030'!E133)</f>
        <v>37381.43447999999</v>
      </c>
      <c r="F36" s="581">
        <f>SUM('Thermal Desorption 2008-2030'!F133)</f>
        <v>57756.06093825633</v>
      </c>
      <c r="G36" s="587">
        <f>SUM('Thermal Desorption 2008-2030'!G133)</f>
        <v>1328389.4015798955</v>
      </c>
      <c r="H36" s="709">
        <f>SUM('Thermal Desorption 2008-2030'!H133/1000)</f>
        <v>8497.660918927844</v>
      </c>
      <c r="I36" s="703">
        <f>SUM('Thermal Desorption 2008-2030'!I133/1000)</f>
        <v>195446.2011353404</v>
      </c>
    </row>
    <row r="37" spans="1:9" ht="15" customHeight="1">
      <c r="A37" s="588"/>
      <c r="B37" s="589"/>
      <c r="C37" s="590"/>
      <c r="D37" s="591"/>
      <c r="E37" s="592"/>
      <c r="F37" s="593"/>
      <c r="G37" s="594"/>
      <c r="H37" s="710"/>
      <c r="I37" s="711"/>
    </row>
    <row r="38" spans="1:9" ht="15" customHeight="1" thickBot="1">
      <c r="A38" s="595" t="s">
        <v>83</v>
      </c>
      <c r="B38" s="596">
        <f aca="true" t="shared" si="1" ref="B38:I38">SUM(B32:B36)</f>
        <v>618096.0434302844</v>
      </c>
      <c r="C38" s="597">
        <f t="shared" si="1"/>
        <v>14216208.998896541</v>
      </c>
      <c r="D38" s="598">
        <f t="shared" si="1"/>
        <v>2288899.556635646</v>
      </c>
      <c r="E38" s="598">
        <f t="shared" si="1"/>
        <v>52644689.80261985</v>
      </c>
      <c r="F38" s="598">
        <f t="shared" si="1"/>
        <v>404410.56074312556</v>
      </c>
      <c r="G38" s="597">
        <f t="shared" si="1"/>
        <v>9301442.89709189</v>
      </c>
      <c r="H38" s="712">
        <f t="shared" si="1"/>
        <v>63406.45503056764</v>
      </c>
      <c r="I38" s="705">
        <f t="shared" si="1"/>
        <v>1458348.4657030555</v>
      </c>
    </row>
    <row r="39" spans="1:7" ht="15" customHeight="1" thickTop="1">
      <c r="A39" s="127"/>
      <c r="B39" s="128"/>
      <c r="C39" s="129"/>
      <c r="D39" s="128"/>
      <c r="E39" s="130"/>
      <c r="F39" s="131"/>
      <c r="G39" s="131"/>
    </row>
    <row r="43" ht="15" customHeight="1"/>
    <row r="44" spans="1:7" ht="12" customHeight="1">
      <c r="A44" s="744"/>
      <c r="B44" s="745"/>
      <c r="C44" s="745"/>
      <c r="D44" s="745"/>
      <c r="E44" s="745"/>
      <c r="F44" s="745"/>
      <c r="G44" s="745"/>
    </row>
    <row r="45" spans="1:7" ht="12" customHeight="1">
      <c r="A45" t="s">
        <v>364</v>
      </c>
      <c r="B45" s="121"/>
      <c r="C45" s="122"/>
      <c r="D45" s="121"/>
      <c r="E45" s="123"/>
      <c r="F45" s="115"/>
      <c r="G45" s="115"/>
    </row>
    <row r="46" spans="1:9" ht="20.25" customHeight="1">
      <c r="A46" s="799" t="s">
        <v>408</v>
      </c>
      <c r="B46" s="800"/>
      <c r="C46" s="767"/>
      <c r="D46" s="767"/>
      <c r="E46" s="767"/>
      <c r="F46" s="767"/>
      <c r="G46" s="767"/>
      <c r="H46" s="767"/>
      <c r="I46" s="767"/>
    </row>
    <row r="47" spans="1:7" ht="12.75" customHeight="1">
      <c r="A47" s="726" t="s">
        <v>448</v>
      </c>
      <c r="B47" s="726"/>
      <c r="C47" s="726"/>
      <c r="D47" s="726"/>
      <c r="E47" s="726"/>
      <c r="F47" s="726"/>
      <c r="G47" s="726"/>
    </row>
    <row r="48" spans="1:7" ht="12.75" customHeight="1">
      <c r="A48" s="764" t="s">
        <v>409</v>
      </c>
      <c r="B48" s="764"/>
      <c r="C48" s="764"/>
      <c r="D48" s="764"/>
      <c r="E48" s="764"/>
      <c r="F48" s="764"/>
      <c r="G48" s="764"/>
    </row>
    <row r="49" spans="1:7" ht="23.25" customHeight="1">
      <c r="A49" s="765" t="s">
        <v>156</v>
      </c>
      <c r="B49" s="765"/>
      <c r="C49" s="765"/>
      <c r="D49" s="765"/>
      <c r="E49" s="765"/>
      <c r="F49" s="765"/>
      <c r="G49" s="765"/>
    </row>
    <row r="50" ht="12.75">
      <c r="A50" s="30" t="s">
        <v>157</v>
      </c>
    </row>
    <row r="51" spans="1:7" ht="12.75">
      <c r="A51" s="764" t="s">
        <v>158</v>
      </c>
      <c r="B51" s="745"/>
      <c r="C51" s="745"/>
      <c r="D51" s="745"/>
      <c r="E51" s="745"/>
      <c r="F51" s="745"/>
      <c r="G51" s="745"/>
    </row>
    <row r="52" spans="1:7" ht="12.75">
      <c r="A52" s="764" t="s">
        <v>396</v>
      </c>
      <c r="B52" s="764"/>
      <c r="C52" s="764"/>
      <c r="D52" s="764"/>
      <c r="E52" s="764"/>
      <c r="F52" s="764"/>
      <c r="G52" s="764"/>
    </row>
    <row r="53" spans="1:7" ht="12.75">
      <c r="A53" s="486" t="s">
        <v>159</v>
      </c>
      <c r="B53" s="486"/>
      <c r="C53" s="486"/>
      <c r="D53" s="486"/>
      <c r="E53" s="486"/>
      <c r="F53" s="486"/>
      <c r="G53" s="486"/>
    </row>
    <row r="54" spans="1:7" ht="26.25" customHeight="1">
      <c r="A54" s="735" t="s">
        <v>413</v>
      </c>
      <c r="B54" s="735"/>
      <c r="C54" s="735"/>
      <c r="D54" s="735"/>
      <c r="E54" s="735"/>
      <c r="F54" s="735"/>
      <c r="G54" s="735"/>
    </row>
    <row r="55" spans="1:7" ht="12.75">
      <c r="A55" s="798" t="s">
        <v>449</v>
      </c>
      <c r="B55" s="745"/>
      <c r="C55" s="745"/>
      <c r="D55" s="745"/>
      <c r="E55" s="745"/>
      <c r="F55" s="745"/>
      <c r="G55" s="745"/>
    </row>
    <row r="56" spans="1:7" ht="25.5" customHeight="1">
      <c r="A56" s="766" t="s">
        <v>160</v>
      </c>
      <c r="B56" s="768"/>
      <c r="C56" s="768"/>
      <c r="D56" s="768"/>
      <c r="E56" s="768"/>
      <c r="F56" s="768"/>
      <c r="G56" s="768"/>
    </row>
    <row r="57" spans="1:7" ht="25.5" customHeight="1">
      <c r="A57" s="766" t="s">
        <v>162</v>
      </c>
      <c r="B57" s="745"/>
      <c r="C57" s="745"/>
      <c r="D57" s="745"/>
      <c r="E57" s="745"/>
      <c r="F57" s="745"/>
      <c r="G57" s="745"/>
    </row>
    <row r="58" spans="1:7" ht="25.5" customHeight="1">
      <c r="A58" s="735" t="s">
        <v>405</v>
      </c>
      <c r="B58" s="767"/>
      <c r="C58" s="767"/>
      <c r="D58" s="767"/>
      <c r="E58" s="767"/>
      <c r="F58" s="767"/>
      <c r="G58" s="767"/>
    </row>
    <row r="59" spans="1:7" ht="26.25" customHeight="1">
      <c r="A59" s="766" t="s">
        <v>411</v>
      </c>
      <c r="B59" s="768"/>
      <c r="C59" s="768"/>
      <c r="D59" s="768"/>
      <c r="E59" s="768"/>
      <c r="F59" s="768"/>
      <c r="G59" s="768"/>
    </row>
    <row r="60" spans="1:7" ht="25.5" customHeight="1">
      <c r="A60" s="766" t="s">
        <v>412</v>
      </c>
      <c r="B60" s="767"/>
      <c r="C60" s="767"/>
      <c r="D60" s="767"/>
      <c r="E60" s="767"/>
      <c r="F60" s="767"/>
      <c r="G60" s="767"/>
    </row>
    <row r="61" spans="1:7" ht="12.75" customHeight="1">
      <c r="A61" s="30" t="s">
        <v>163</v>
      </c>
      <c r="B61" s="30"/>
      <c r="C61" s="30"/>
      <c r="D61" s="30"/>
      <c r="E61" s="30"/>
      <c r="F61" s="30"/>
      <c r="G61" s="30"/>
    </row>
    <row r="62" spans="1:7" ht="12.75">
      <c r="A62" s="764" t="s">
        <v>164</v>
      </c>
      <c r="B62" s="764"/>
      <c r="C62" s="764"/>
      <c r="D62" s="764"/>
      <c r="E62" s="764"/>
      <c r="F62" s="764"/>
      <c r="G62" s="764"/>
    </row>
    <row r="63" spans="1:7" ht="23.25" customHeight="1">
      <c r="A63" s="765" t="s">
        <v>406</v>
      </c>
      <c r="B63" s="765"/>
      <c r="C63" s="765"/>
      <c r="D63" s="765"/>
      <c r="E63" s="765"/>
      <c r="F63" s="765"/>
      <c r="G63" s="765"/>
    </row>
    <row r="64" spans="1:7" ht="24.75" customHeight="1">
      <c r="A64" s="765" t="s">
        <v>407</v>
      </c>
      <c r="B64" s="765"/>
      <c r="C64" s="765"/>
      <c r="D64" s="765"/>
      <c r="E64" s="765"/>
      <c r="F64" s="765"/>
      <c r="G64" s="765"/>
    </row>
    <row r="65" spans="1:7" ht="25.5" customHeight="1">
      <c r="A65" s="765" t="s">
        <v>0</v>
      </c>
      <c r="B65" s="767"/>
      <c r="C65" s="767"/>
      <c r="D65" s="767"/>
      <c r="E65" s="767"/>
      <c r="F65" s="767"/>
      <c r="G65" s="767"/>
    </row>
    <row r="66" spans="1:7" ht="13.5" thickBot="1">
      <c r="A66" s="30"/>
      <c r="B66" s="34"/>
      <c r="C66" s="32"/>
      <c r="D66" s="30"/>
      <c r="E66" s="30"/>
      <c r="F66" s="30"/>
      <c r="G66" s="30"/>
    </row>
    <row r="67" spans="1:7" ht="15.75" thickTop="1">
      <c r="A67" s="619" t="s">
        <v>376</v>
      </c>
      <c r="B67" s="35"/>
      <c r="C67" s="35"/>
      <c r="D67" s="74"/>
      <c r="E67" s="74"/>
      <c r="F67" s="74"/>
      <c r="G67" s="75"/>
    </row>
    <row r="68" spans="1:7" ht="13.5" thickBot="1">
      <c r="A68" s="72"/>
      <c r="B68" s="76"/>
      <c r="C68" s="76"/>
      <c r="D68" s="73" t="s">
        <v>302</v>
      </c>
      <c r="E68" s="73" t="s">
        <v>303</v>
      </c>
      <c r="F68" s="77"/>
      <c r="G68" s="78"/>
    </row>
    <row r="69" spans="1:7" ht="12.75" customHeight="1">
      <c r="A69" s="757" t="s">
        <v>280</v>
      </c>
      <c r="B69" s="758"/>
      <c r="C69" s="758"/>
      <c r="D69" s="231" t="s">
        <v>283</v>
      </c>
      <c r="E69" s="746" t="s">
        <v>282</v>
      </c>
      <c r="F69" s="747"/>
      <c r="G69" s="748"/>
    </row>
    <row r="70" spans="1:7" ht="15" customHeight="1">
      <c r="A70" s="759" t="s">
        <v>281</v>
      </c>
      <c r="B70" s="760"/>
      <c r="C70" s="760"/>
      <c r="D70" s="232" t="s">
        <v>283</v>
      </c>
      <c r="E70" s="754" t="s">
        <v>282</v>
      </c>
      <c r="F70" s="755"/>
      <c r="G70" s="756"/>
    </row>
    <row r="71" spans="1:7" ht="15" customHeight="1">
      <c r="A71" s="759" t="s">
        <v>284</v>
      </c>
      <c r="B71" s="760"/>
      <c r="C71" s="760"/>
      <c r="D71" s="232" t="s">
        <v>283</v>
      </c>
      <c r="E71" s="754" t="s">
        <v>282</v>
      </c>
      <c r="F71" s="755"/>
      <c r="G71" s="756"/>
    </row>
    <row r="72" spans="1:7" ht="15" customHeight="1">
      <c r="A72" s="759" t="s">
        <v>290</v>
      </c>
      <c r="B72" s="760"/>
      <c r="C72" s="760"/>
      <c r="D72" s="233">
        <v>1.37</v>
      </c>
      <c r="E72" s="736" t="s">
        <v>450</v>
      </c>
      <c r="F72" s="728"/>
      <c r="G72" s="729"/>
    </row>
    <row r="73" spans="1:7" ht="15" customHeight="1">
      <c r="A73" s="761" t="s">
        <v>404</v>
      </c>
      <c r="B73" s="762"/>
      <c r="C73" s="762"/>
      <c r="D73" s="233">
        <v>0.0914</v>
      </c>
      <c r="E73" s="736" t="s">
        <v>76</v>
      </c>
      <c r="F73" s="728"/>
      <c r="G73" s="729"/>
    </row>
    <row r="74" spans="1:7" ht="15" customHeight="1">
      <c r="A74" s="770" t="s">
        <v>81</v>
      </c>
      <c r="B74" s="771"/>
      <c r="C74" s="771"/>
      <c r="D74" s="234">
        <v>2204.62</v>
      </c>
      <c r="E74" s="723"/>
      <c r="F74" s="724"/>
      <c r="G74" s="725"/>
    </row>
    <row r="75" spans="1:7" ht="26.25" customHeight="1">
      <c r="A75" s="770" t="s">
        <v>424</v>
      </c>
      <c r="B75" s="771"/>
      <c r="C75" s="771"/>
      <c r="D75" s="685">
        <v>1.0989</v>
      </c>
      <c r="E75" s="720" t="s">
        <v>423</v>
      </c>
      <c r="F75" s="721"/>
      <c r="G75" s="722"/>
    </row>
    <row r="76" spans="1:7" ht="15" customHeight="1">
      <c r="A76" s="790" t="s">
        <v>439</v>
      </c>
      <c r="B76" s="791"/>
      <c r="C76" s="792"/>
      <c r="D76" s="234">
        <v>1</v>
      </c>
      <c r="E76" s="793"/>
      <c r="F76" s="794"/>
      <c r="G76" s="795"/>
    </row>
    <row r="77" spans="1:7" ht="66" customHeight="1">
      <c r="A77" s="759" t="s">
        <v>291</v>
      </c>
      <c r="B77" s="760"/>
      <c r="C77" s="760"/>
      <c r="D77" s="235">
        <f>SUM(9797*D75)</f>
        <v>10765.9233</v>
      </c>
      <c r="E77" s="720" t="s">
        <v>425</v>
      </c>
      <c r="F77" s="719"/>
      <c r="G77" s="715"/>
    </row>
    <row r="78" spans="1:7" ht="15" customHeight="1">
      <c r="A78" s="759" t="s">
        <v>287</v>
      </c>
      <c r="B78" s="760"/>
      <c r="C78" s="760"/>
      <c r="D78" s="235">
        <f>SUM(32657*D75)</f>
        <v>35886.7773</v>
      </c>
      <c r="E78" s="754" t="s">
        <v>79</v>
      </c>
      <c r="F78" s="755"/>
      <c r="G78" s="756"/>
    </row>
    <row r="79" spans="1:7" ht="15" customHeight="1">
      <c r="A79" s="763" t="s">
        <v>293</v>
      </c>
      <c r="B79" s="760"/>
      <c r="C79" s="760"/>
      <c r="D79" s="235">
        <f>SUM(48986*D75)</f>
        <v>53830.7154</v>
      </c>
      <c r="E79" s="754" t="s">
        <v>79</v>
      </c>
      <c r="F79" s="755"/>
      <c r="G79" s="756"/>
    </row>
    <row r="80" spans="1:7" ht="15" customHeight="1">
      <c r="A80" s="763" t="s">
        <v>285</v>
      </c>
      <c r="B80" s="760"/>
      <c r="C80" s="760"/>
      <c r="D80" s="235">
        <f>SUM(65315*D75)</f>
        <v>71774.6535</v>
      </c>
      <c r="E80" s="754" t="s">
        <v>79</v>
      </c>
      <c r="F80" s="755"/>
      <c r="G80" s="756"/>
    </row>
    <row r="81" spans="1:7" ht="15" customHeight="1">
      <c r="A81" s="763" t="s">
        <v>292</v>
      </c>
      <c r="B81" s="760"/>
      <c r="C81" s="760"/>
      <c r="D81" s="235">
        <f>SUM(97972*D75)</f>
        <v>107661.4308</v>
      </c>
      <c r="E81" s="754" t="s">
        <v>79</v>
      </c>
      <c r="F81" s="755"/>
      <c r="G81" s="756"/>
    </row>
    <row r="82" spans="1:7" ht="15" customHeight="1">
      <c r="A82" s="769" t="s">
        <v>288</v>
      </c>
      <c r="B82" s="760"/>
      <c r="C82" s="760"/>
      <c r="D82" s="235">
        <f>SUM(130630*D75)</f>
        <v>143549.307</v>
      </c>
      <c r="E82" s="754" t="s">
        <v>79</v>
      </c>
      <c r="F82" s="755"/>
      <c r="G82" s="756"/>
    </row>
    <row r="83" spans="1:7" ht="15" customHeight="1">
      <c r="A83" s="769" t="s">
        <v>289</v>
      </c>
      <c r="B83" s="760"/>
      <c r="C83" s="760"/>
      <c r="D83" s="235">
        <f>SUM(653146*D75)</f>
        <v>717742.1394</v>
      </c>
      <c r="E83" s="754" t="s">
        <v>79</v>
      </c>
      <c r="F83" s="755"/>
      <c r="G83" s="756"/>
    </row>
    <row r="84" spans="1:7" ht="41.25" customHeight="1" thickBot="1">
      <c r="A84" s="716" t="s">
        <v>395</v>
      </c>
      <c r="B84" s="717"/>
      <c r="C84" s="717"/>
      <c r="D84" s="686">
        <f>SUM(16400*D75)</f>
        <v>18021.96</v>
      </c>
      <c r="E84" s="730" t="s">
        <v>80</v>
      </c>
      <c r="F84" s="731"/>
      <c r="G84" s="727"/>
    </row>
    <row r="85" spans="1:7" ht="42.75" customHeight="1" thickTop="1">
      <c r="A85" s="749" t="s">
        <v>71</v>
      </c>
      <c r="B85" s="750"/>
      <c r="C85" s="750"/>
      <c r="D85" s="236">
        <v>19.564</v>
      </c>
      <c r="E85" s="751" t="s">
        <v>75</v>
      </c>
      <c r="F85" s="752"/>
      <c r="G85" s="753"/>
    </row>
    <row r="86" spans="1:7" ht="48" customHeight="1">
      <c r="A86" s="718" t="s">
        <v>72</v>
      </c>
      <c r="B86" s="752"/>
      <c r="C86" s="752"/>
      <c r="D86" s="236">
        <v>22.384</v>
      </c>
      <c r="E86" s="751" t="s">
        <v>75</v>
      </c>
      <c r="F86" s="752"/>
      <c r="G86" s="753"/>
    </row>
    <row r="87" spans="1:7" ht="42" customHeight="1">
      <c r="A87" s="718" t="s">
        <v>73</v>
      </c>
      <c r="B87" s="752"/>
      <c r="C87" s="752"/>
      <c r="D87" s="236">
        <v>3.02</v>
      </c>
      <c r="E87" s="752" t="s">
        <v>82</v>
      </c>
      <c r="F87" s="752"/>
      <c r="G87" s="753"/>
    </row>
    <row r="88" spans="1:7" ht="42.75" customHeight="1">
      <c r="A88" s="718" t="s">
        <v>74</v>
      </c>
      <c r="B88" s="752"/>
      <c r="C88" s="752"/>
      <c r="D88" s="236">
        <v>3.29</v>
      </c>
      <c r="E88" s="752" t="s">
        <v>43</v>
      </c>
      <c r="F88" s="752"/>
      <c r="G88" s="753"/>
    </row>
    <row r="89" spans="1:7" ht="25.5" customHeight="1">
      <c r="A89" s="777" t="s">
        <v>192</v>
      </c>
      <c r="B89" s="778"/>
      <c r="C89" s="779"/>
      <c r="D89" s="237">
        <v>2000</v>
      </c>
      <c r="E89" s="780" t="s">
        <v>191</v>
      </c>
      <c r="F89" s="773"/>
      <c r="G89" s="776"/>
    </row>
    <row r="90" spans="1:7" ht="12.75">
      <c r="A90" s="772"/>
      <c r="B90" s="773"/>
      <c r="C90" s="774"/>
      <c r="D90" s="429"/>
      <c r="E90" s="775"/>
      <c r="F90" s="773"/>
      <c r="G90" s="776"/>
    </row>
    <row r="91" spans="1:7" ht="13.5" thickBot="1">
      <c r="A91" s="430"/>
      <c r="B91" s="229"/>
      <c r="C91" s="229"/>
      <c r="D91" s="432"/>
      <c r="E91" s="229"/>
      <c r="F91" s="229"/>
      <c r="G91" s="230"/>
    </row>
    <row r="92" ht="13.5" thickTop="1"/>
  </sheetData>
  <sheetProtection/>
  <mergeCells count="74">
    <mergeCell ref="A76:C76"/>
    <mergeCell ref="E76:G76"/>
    <mergeCell ref="A27:I27"/>
    <mergeCell ref="A8:I8"/>
    <mergeCell ref="A57:G57"/>
    <mergeCell ref="A75:C75"/>
    <mergeCell ref="A56:G56"/>
    <mergeCell ref="A55:G55"/>
    <mergeCell ref="A46:I46"/>
    <mergeCell ref="A51:G51"/>
    <mergeCell ref="A7:I7"/>
    <mergeCell ref="A26:I26"/>
    <mergeCell ref="B9:C9"/>
    <mergeCell ref="D9:E9"/>
    <mergeCell ref="F9:G9"/>
    <mergeCell ref="H9:I9"/>
    <mergeCell ref="E87:G87"/>
    <mergeCell ref="A74:C74"/>
    <mergeCell ref="A90:C90"/>
    <mergeCell ref="E90:G90"/>
    <mergeCell ref="E86:G86"/>
    <mergeCell ref="A86:C86"/>
    <mergeCell ref="A88:C88"/>
    <mergeCell ref="E88:G88"/>
    <mergeCell ref="A89:C89"/>
    <mergeCell ref="E89:G89"/>
    <mergeCell ref="A87:C87"/>
    <mergeCell ref="A78:C78"/>
    <mergeCell ref="A79:C79"/>
    <mergeCell ref="E77:G77"/>
    <mergeCell ref="E78:G78"/>
    <mergeCell ref="E79:G79"/>
    <mergeCell ref="A77:C77"/>
    <mergeCell ref="A84:C84"/>
    <mergeCell ref="A82:C82"/>
    <mergeCell ref="A83:C83"/>
    <mergeCell ref="A47:G47"/>
    <mergeCell ref="A48:G48"/>
    <mergeCell ref="A49:G49"/>
    <mergeCell ref="E71:G71"/>
    <mergeCell ref="A54:G54"/>
    <mergeCell ref="E72:G72"/>
    <mergeCell ref="E84:G84"/>
    <mergeCell ref="E73:G73"/>
    <mergeCell ref="E75:G75"/>
    <mergeCell ref="E81:G81"/>
    <mergeCell ref="E82:G82"/>
    <mergeCell ref="E83:G83"/>
    <mergeCell ref="E74:G74"/>
    <mergeCell ref="E80:G80"/>
    <mergeCell ref="A81:C81"/>
    <mergeCell ref="A70:C70"/>
    <mergeCell ref="A52:G52"/>
    <mergeCell ref="A63:G63"/>
    <mergeCell ref="A64:G64"/>
    <mergeCell ref="A60:G60"/>
    <mergeCell ref="A59:G59"/>
    <mergeCell ref="A58:G58"/>
    <mergeCell ref="A65:G65"/>
    <mergeCell ref="A62:G62"/>
    <mergeCell ref="A44:G44"/>
    <mergeCell ref="E69:G69"/>
    <mergeCell ref="A85:C85"/>
    <mergeCell ref="E85:G85"/>
    <mergeCell ref="E70:G70"/>
    <mergeCell ref="A69:C69"/>
    <mergeCell ref="A71:C71"/>
    <mergeCell ref="A72:C72"/>
    <mergeCell ref="A73:C73"/>
    <mergeCell ref="A80:C80"/>
    <mergeCell ref="B28:C28"/>
    <mergeCell ref="D28:E28"/>
    <mergeCell ref="F28:G28"/>
    <mergeCell ref="H28:I28"/>
  </mergeCells>
  <printOptions/>
  <pageMargins left="0.5" right="0.5" top="0.5" bottom="0.5" header="0.5" footer="0.25"/>
  <pageSetup horizontalDpi="600" verticalDpi="600" orientation="landscape" scale="72" r:id="rId1"/>
  <headerFooter alignWithMargins="0">
    <oddFooter>&amp;CPage &amp;P of &amp;N</oddFooter>
  </headerFooter>
  <rowBreaks count="2" manualBreakCount="2">
    <brk id="45" max="255" man="1"/>
    <brk id="65" max="255" man="1"/>
  </rowBreaks>
</worksheet>
</file>

<file path=xl/worksheets/sheet3.xml><?xml version="1.0" encoding="utf-8"?>
<worksheet xmlns="http://schemas.openxmlformats.org/spreadsheetml/2006/main" xmlns:r="http://schemas.openxmlformats.org/officeDocument/2006/relationships">
  <sheetPr codeName="Sheet3"/>
  <dimension ref="A1:F108"/>
  <sheetViews>
    <sheetView zoomScale="90" zoomScaleNormal="90" zoomScalePageLayoutView="0" workbookViewId="0" topLeftCell="A1">
      <selection activeCell="D4" sqref="D4"/>
    </sheetView>
  </sheetViews>
  <sheetFormatPr defaultColWidth="9.140625" defaultRowHeight="12.75"/>
  <cols>
    <col min="1" max="1" width="23.140625" style="0" customWidth="1"/>
    <col min="2" max="2" width="16.8515625" style="0" customWidth="1"/>
    <col min="3" max="3" width="18.28125" style="0" customWidth="1"/>
    <col min="4" max="4" width="18.8515625" style="0" customWidth="1"/>
    <col min="5" max="5" width="13.421875" style="0" customWidth="1"/>
    <col min="6" max="6" width="13.7109375" style="10" customWidth="1"/>
  </cols>
  <sheetData>
    <row r="1" spans="1:6" ht="18" customHeight="1">
      <c r="A1" s="113" t="s">
        <v>410</v>
      </c>
      <c r="B1" s="5"/>
      <c r="C1" s="5"/>
      <c r="D1" s="5"/>
      <c r="E1" s="5"/>
      <c r="F1" s="5"/>
    </row>
    <row r="2" ht="12.75">
      <c r="A2" s="695">
        <v>39552</v>
      </c>
    </row>
    <row r="3" ht="18">
      <c r="A3" s="3"/>
    </row>
    <row r="4" ht="15.75">
      <c r="A4" s="9" t="s">
        <v>375</v>
      </c>
    </row>
    <row r="5" ht="13.5" thickBot="1"/>
    <row r="6" spans="1:6" ht="13.5" thickTop="1">
      <c r="A6" s="677"/>
      <c r="B6" s="678"/>
      <c r="C6" s="678"/>
      <c r="D6" s="678"/>
      <c r="E6" s="678"/>
      <c r="F6" s="679" t="s">
        <v>335</v>
      </c>
    </row>
    <row r="7" spans="1:6" ht="12.75">
      <c r="A7" s="680"/>
      <c r="B7" s="681" t="s">
        <v>340</v>
      </c>
      <c r="C7" s="681" t="s">
        <v>337</v>
      </c>
      <c r="D7" s="681" t="s">
        <v>348</v>
      </c>
      <c r="E7" s="681" t="s">
        <v>339</v>
      </c>
      <c r="F7" s="682" t="s">
        <v>336</v>
      </c>
    </row>
    <row r="8" spans="1:6" ht="12.75">
      <c r="A8" s="680"/>
      <c r="B8" s="681" t="s">
        <v>341</v>
      </c>
      <c r="C8" s="681" t="s">
        <v>338</v>
      </c>
      <c r="D8" s="681" t="s">
        <v>345</v>
      </c>
      <c r="E8" s="681" t="s">
        <v>342</v>
      </c>
      <c r="F8" s="682" t="s">
        <v>344</v>
      </c>
    </row>
    <row r="9" spans="1:6" ht="13.5" thickBot="1">
      <c r="A9" s="680"/>
      <c r="B9" s="681" t="s">
        <v>343</v>
      </c>
      <c r="C9" s="681" t="s">
        <v>345</v>
      </c>
      <c r="D9" s="683"/>
      <c r="E9" s="683" t="s">
        <v>346</v>
      </c>
      <c r="F9" s="682" t="s">
        <v>347</v>
      </c>
    </row>
    <row r="10" spans="1:6" ht="5.25" customHeight="1">
      <c r="A10" s="89"/>
      <c r="B10" s="90"/>
      <c r="C10" s="90"/>
      <c r="D10" s="90"/>
      <c r="E10" s="90"/>
      <c r="F10" s="91"/>
    </row>
    <row r="11" spans="1:6" ht="15">
      <c r="A11" s="802" t="s">
        <v>310</v>
      </c>
      <c r="B11" s="803"/>
      <c r="C11" s="42"/>
      <c r="D11" s="42"/>
      <c r="E11" s="42"/>
      <c r="F11" s="66"/>
    </row>
    <row r="12" spans="1:6" ht="12.75">
      <c r="A12" s="71"/>
      <c r="B12" s="42"/>
      <c r="C12" s="42"/>
      <c r="D12" s="42"/>
      <c r="E12" s="42"/>
      <c r="F12" s="66"/>
    </row>
    <row r="13" spans="1:6" ht="12.75">
      <c r="A13" s="79" t="s">
        <v>286</v>
      </c>
      <c r="B13" s="70">
        <v>53</v>
      </c>
      <c r="C13" s="70">
        <v>9</v>
      </c>
      <c r="D13" s="70">
        <v>25</v>
      </c>
      <c r="E13" s="67">
        <v>19</v>
      </c>
      <c r="F13" s="68">
        <v>5</v>
      </c>
    </row>
    <row r="14" spans="1:6" ht="12.75">
      <c r="A14" s="79" t="s">
        <v>305</v>
      </c>
      <c r="B14" s="70">
        <v>20</v>
      </c>
      <c r="C14" s="70">
        <v>12</v>
      </c>
      <c r="D14" s="70">
        <v>3</v>
      </c>
      <c r="E14" s="67">
        <v>5</v>
      </c>
      <c r="F14" s="68">
        <v>12</v>
      </c>
    </row>
    <row r="15" spans="1:6" ht="12.75">
      <c r="A15" s="80" t="s">
        <v>316</v>
      </c>
      <c r="B15" s="70">
        <v>1</v>
      </c>
      <c r="C15" s="70">
        <v>0</v>
      </c>
      <c r="D15" s="70">
        <v>0</v>
      </c>
      <c r="E15" s="67">
        <v>1</v>
      </c>
      <c r="F15" s="68"/>
    </row>
    <row r="16" spans="1:6" ht="12.75">
      <c r="A16" s="80" t="s">
        <v>311</v>
      </c>
      <c r="B16" s="70">
        <v>17</v>
      </c>
      <c r="C16" s="70">
        <v>3</v>
      </c>
      <c r="D16" s="70">
        <v>9</v>
      </c>
      <c r="E16" s="67">
        <v>5</v>
      </c>
      <c r="F16" s="68">
        <v>1</v>
      </c>
    </row>
    <row r="17" spans="1:6" ht="12.75">
      <c r="A17" s="69" t="s">
        <v>318</v>
      </c>
      <c r="B17" s="70">
        <v>3</v>
      </c>
      <c r="C17" s="70">
        <v>2</v>
      </c>
      <c r="D17" s="70">
        <v>0</v>
      </c>
      <c r="E17" s="67">
        <v>1</v>
      </c>
      <c r="F17" s="68">
        <v>2</v>
      </c>
    </row>
    <row r="18" spans="1:6" ht="12.75">
      <c r="A18" s="79" t="s">
        <v>315</v>
      </c>
      <c r="B18" s="70">
        <v>46</v>
      </c>
      <c r="C18" s="70">
        <v>10</v>
      </c>
      <c r="D18" s="70">
        <v>30</v>
      </c>
      <c r="E18" s="67">
        <v>6</v>
      </c>
      <c r="F18" s="68">
        <v>13</v>
      </c>
    </row>
    <row r="19" spans="1:6" ht="12.75">
      <c r="A19" s="69" t="s">
        <v>327</v>
      </c>
      <c r="B19" s="70">
        <v>8</v>
      </c>
      <c r="C19" s="70">
        <v>1</v>
      </c>
      <c r="D19" s="70">
        <v>3</v>
      </c>
      <c r="E19" s="67">
        <v>4</v>
      </c>
      <c r="F19" s="68">
        <v>1</v>
      </c>
    </row>
    <row r="20" spans="1:6" ht="12.75">
      <c r="A20" s="80" t="s">
        <v>319</v>
      </c>
      <c r="B20" s="70">
        <v>6</v>
      </c>
      <c r="C20" s="70">
        <v>2</v>
      </c>
      <c r="D20" s="70">
        <v>3</v>
      </c>
      <c r="E20" s="67">
        <v>1</v>
      </c>
      <c r="F20" s="68">
        <v>2</v>
      </c>
    </row>
    <row r="21" spans="1:6" ht="12.75">
      <c r="A21" s="71" t="s">
        <v>312</v>
      </c>
      <c r="B21" s="70">
        <v>248</v>
      </c>
      <c r="C21" s="70">
        <v>32</v>
      </c>
      <c r="D21" s="70">
        <v>110</v>
      </c>
      <c r="E21" s="67">
        <v>106</v>
      </c>
      <c r="F21" s="68">
        <v>27</v>
      </c>
    </row>
    <row r="22" spans="1:6" ht="12.75">
      <c r="A22" s="71" t="s">
        <v>313</v>
      </c>
      <c r="B22" s="70">
        <v>44</v>
      </c>
      <c r="C22" s="70">
        <v>14</v>
      </c>
      <c r="D22" s="70">
        <v>2</v>
      </c>
      <c r="E22" s="67">
        <v>28</v>
      </c>
      <c r="F22" s="68">
        <v>8</v>
      </c>
    </row>
    <row r="23" spans="1:6" ht="12.75">
      <c r="A23" s="80" t="s">
        <v>322</v>
      </c>
      <c r="B23" s="70">
        <v>14</v>
      </c>
      <c r="C23" s="70">
        <v>7</v>
      </c>
      <c r="D23" s="70">
        <v>3</v>
      </c>
      <c r="E23" s="67">
        <v>4</v>
      </c>
      <c r="F23" s="68">
        <v>5</v>
      </c>
    </row>
    <row r="24" spans="1:6" ht="12.75">
      <c r="A24" s="69" t="s">
        <v>323</v>
      </c>
      <c r="B24" s="70">
        <v>2</v>
      </c>
      <c r="C24" s="70">
        <v>1</v>
      </c>
      <c r="D24" s="70">
        <v>0</v>
      </c>
      <c r="E24" s="67">
        <v>1</v>
      </c>
      <c r="F24" s="68"/>
    </row>
    <row r="25" spans="1:6" ht="5.25" customHeight="1">
      <c r="A25" s="69"/>
      <c r="B25" s="70"/>
      <c r="C25" s="70"/>
      <c r="D25" s="70"/>
      <c r="E25" s="67"/>
      <c r="F25" s="68"/>
    </row>
    <row r="26" spans="1:6" ht="15">
      <c r="A26" s="804" t="s">
        <v>307</v>
      </c>
      <c r="B26" s="745"/>
      <c r="C26" s="70"/>
      <c r="D26" s="70"/>
      <c r="E26" s="67"/>
      <c r="F26" s="68"/>
    </row>
    <row r="27" spans="1:6" ht="12.75">
      <c r="A27" s="81"/>
      <c r="B27" s="70"/>
      <c r="C27" s="70"/>
      <c r="D27" s="70"/>
      <c r="E27" s="67"/>
      <c r="F27" s="68"/>
    </row>
    <row r="28" spans="1:6" ht="12.75">
      <c r="A28" s="71" t="s">
        <v>304</v>
      </c>
      <c r="B28" s="70">
        <v>60</v>
      </c>
      <c r="C28" s="70">
        <v>10</v>
      </c>
      <c r="D28" s="70">
        <v>16</v>
      </c>
      <c r="E28" s="67">
        <v>34</v>
      </c>
      <c r="F28" s="68">
        <v>8</v>
      </c>
    </row>
    <row r="29" spans="1:6" ht="12.75">
      <c r="A29" s="69" t="s">
        <v>305</v>
      </c>
      <c r="B29" s="70">
        <v>9</v>
      </c>
      <c r="C29" s="70">
        <v>1</v>
      </c>
      <c r="D29" s="70">
        <v>1</v>
      </c>
      <c r="E29" s="67">
        <v>7</v>
      </c>
      <c r="F29" s="68">
        <v>1</v>
      </c>
    </row>
    <row r="30" spans="1:6" ht="12.75">
      <c r="A30" s="71" t="s">
        <v>308</v>
      </c>
      <c r="B30" s="70">
        <v>105</v>
      </c>
      <c r="C30" s="70">
        <v>4</v>
      </c>
      <c r="D30" s="70">
        <v>6</v>
      </c>
      <c r="E30" s="67">
        <v>95</v>
      </c>
      <c r="F30" s="68">
        <v>3</v>
      </c>
    </row>
    <row r="31" spans="1:6" ht="12.75">
      <c r="A31" s="71" t="s">
        <v>402</v>
      </c>
      <c r="B31" s="70">
        <v>42</v>
      </c>
      <c r="C31" s="70">
        <v>1</v>
      </c>
      <c r="D31" s="70">
        <v>1</v>
      </c>
      <c r="E31" s="67">
        <v>40</v>
      </c>
      <c r="F31" s="68"/>
    </row>
    <row r="32" spans="1:6" ht="12.75">
      <c r="A32" s="69" t="s">
        <v>318</v>
      </c>
      <c r="B32" s="70">
        <v>4</v>
      </c>
      <c r="C32" s="70">
        <v>1</v>
      </c>
      <c r="D32" s="70">
        <v>0</v>
      </c>
      <c r="E32" s="67">
        <v>3</v>
      </c>
      <c r="F32" s="68"/>
    </row>
    <row r="33" spans="1:6" ht="13.5" thickBot="1">
      <c r="A33" s="82" t="s">
        <v>327</v>
      </c>
      <c r="B33" s="83">
        <v>7</v>
      </c>
      <c r="C33" s="83">
        <v>1</v>
      </c>
      <c r="D33" s="83">
        <v>1</v>
      </c>
      <c r="E33" s="86">
        <v>5</v>
      </c>
      <c r="F33" s="87">
        <v>1</v>
      </c>
    </row>
    <row r="34" spans="1:6" ht="6" customHeight="1" thickTop="1">
      <c r="A34" s="108"/>
      <c r="B34" s="106"/>
      <c r="C34" s="106"/>
      <c r="D34" s="106"/>
      <c r="E34" s="107"/>
      <c r="F34" s="109"/>
    </row>
    <row r="35" spans="1:6" ht="12.75">
      <c r="A35" s="69" t="s">
        <v>326</v>
      </c>
      <c r="B35" s="70">
        <v>21</v>
      </c>
      <c r="C35" s="70">
        <v>5</v>
      </c>
      <c r="D35" s="70">
        <v>6</v>
      </c>
      <c r="E35" s="67">
        <v>10</v>
      </c>
      <c r="F35" s="68">
        <v>5</v>
      </c>
    </row>
    <row r="36" spans="1:6" ht="12.75">
      <c r="A36" s="80" t="s">
        <v>319</v>
      </c>
      <c r="B36" s="70">
        <v>1</v>
      </c>
      <c r="C36" s="70">
        <v>0</v>
      </c>
      <c r="D36" s="70">
        <v>0</v>
      </c>
      <c r="E36" s="67">
        <v>1</v>
      </c>
      <c r="F36" s="68"/>
    </row>
    <row r="37" spans="1:6" ht="12.75">
      <c r="A37" s="80" t="s">
        <v>312</v>
      </c>
      <c r="B37" s="70">
        <v>7</v>
      </c>
      <c r="C37" s="70">
        <v>1</v>
      </c>
      <c r="D37" s="70">
        <v>2</v>
      </c>
      <c r="E37" s="67">
        <v>4</v>
      </c>
      <c r="F37" s="68"/>
    </row>
    <row r="38" spans="1:6" ht="12.75">
      <c r="A38" s="80" t="s">
        <v>320</v>
      </c>
      <c r="B38" s="70">
        <v>6</v>
      </c>
      <c r="C38" s="70">
        <v>2</v>
      </c>
      <c r="D38" s="70">
        <v>1</v>
      </c>
      <c r="E38" s="67">
        <v>3</v>
      </c>
      <c r="F38" s="68"/>
    </row>
    <row r="39" spans="1:6" ht="12.75">
      <c r="A39" s="80" t="s">
        <v>321</v>
      </c>
      <c r="B39" s="70">
        <v>4</v>
      </c>
      <c r="C39" s="70">
        <v>1</v>
      </c>
      <c r="D39" s="70">
        <v>0</v>
      </c>
      <c r="E39" s="67">
        <v>3</v>
      </c>
      <c r="F39" s="68"/>
    </row>
    <row r="40" spans="1:6" ht="12.75">
      <c r="A40" s="71" t="s">
        <v>313</v>
      </c>
      <c r="B40" s="70">
        <v>173</v>
      </c>
      <c r="C40" s="70">
        <v>27</v>
      </c>
      <c r="D40" s="70">
        <v>10</v>
      </c>
      <c r="E40" s="67">
        <v>136</v>
      </c>
      <c r="F40" s="68">
        <v>20</v>
      </c>
    </row>
    <row r="41" spans="1:6" ht="12.75">
      <c r="A41" s="71" t="s">
        <v>309</v>
      </c>
      <c r="B41" s="70">
        <v>71</v>
      </c>
      <c r="C41" s="70">
        <v>11</v>
      </c>
      <c r="D41" s="70">
        <v>4</v>
      </c>
      <c r="E41" s="67">
        <v>56</v>
      </c>
      <c r="F41" s="68">
        <v>9</v>
      </c>
    </row>
    <row r="42" spans="1:6" ht="12.75">
      <c r="A42" s="80" t="s">
        <v>323</v>
      </c>
      <c r="B42" s="70">
        <v>1</v>
      </c>
      <c r="C42" s="70">
        <v>1</v>
      </c>
      <c r="D42" s="70">
        <v>0</v>
      </c>
      <c r="E42" s="67">
        <v>0</v>
      </c>
      <c r="F42" s="68"/>
    </row>
    <row r="43" spans="1:6" ht="8.25" customHeight="1">
      <c r="A43" s="69"/>
      <c r="B43" s="70"/>
      <c r="C43" s="70"/>
      <c r="D43" s="70"/>
      <c r="E43" s="67"/>
      <c r="F43" s="68"/>
    </row>
    <row r="44" spans="1:6" ht="15">
      <c r="A44" s="804" t="s">
        <v>314</v>
      </c>
      <c r="B44" s="745"/>
      <c r="C44" s="70"/>
      <c r="D44" s="70"/>
      <c r="E44" s="67"/>
      <c r="F44" s="68"/>
    </row>
    <row r="45" spans="1:6" ht="3.75" customHeight="1">
      <c r="A45" s="69"/>
      <c r="B45" s="70"/>
      <c r="C45" s="70"/>
      <c r="D45" s="70"/>
      <c r="E45" s="67"/>
      <c r="F45" s="68"/>
    </row>
    <row r="46" spans="1:6" ht="12.75">
      <c r="A46" s="71" t="s">
        <v>306</v>
      </c>
      <c r="B46" s="70">
        <v>72</v>
      </c>
      <c r="C46" s="70">
        <v>14</v>
      </c>
      <c r="D46" s="70">
        <v>38</v>
      </c>
      <c r="E46" s="67">
        <v>20</v>
      </c>
      <c r="F46" s="68"/>
    </row>
    <row r="47" spans="1:6" ht="12.75">
      <c r="A47" s="69" t="s">
        <v>324</v>
      </c>
      <c r="B47" s="70">
        <v>8</v>
      </c>
      <c r="C47" s="70">
        <v>2</v>
      </c>
      <c r="D47" s="70">
        <v>6</v>
      </c>
      <c r="E47" s="67">
        <v>0</v>
      </c>
      <c r="F47" s="68"/>
    </row>
    <row r="48" spans="1:6" ht="12.75">
      <c r="A48" s="71" t="s">
        <v>304</v>
      </c>
      <c r="B48" s="70">
        <v>70</v>
      </c>
      <c r="C48" s="70">
        <v>33</v>
      </c>
      <c r="D48" s="70">
        <v>27</v>
      </c>
      <c r="E48" s="67">
        <v>10</v>
      </c>
      <c r="F48" s="68"/>
    </row>
    <row r="49" spans="1:6" ht="12.75">
      <c r="A49" s="71" t="s">
        <v>305</v>
      </c>
      <c r="B49" s="70">
        <v>39</v>
      </c>
      <c r="C49" s="70">
        <v>21</v>
      </c>
      <c r="D49" s="70">
        <v>9</v>
      </c>
      <c r="E49" s="67">
        <v>9</v>
      </c>
      <c r="F49" s="68"/>
    </row>
    <row r="50" spans="1:6" ht="12.75">
      <c r="A50" s="69" t="s">
        <v>311</v>
      </c>
      <c r="B50" s="70">
        <v>1</v>
      </c>
      <c r="C50" s="70">
        <v>1</v>
      </c>
      <c r="D50" s="70">
        <v>0</v>
      </c>
      <c r="E50" s="67">
        <v>0</v>
      </c>
      <c r="F50" s="68"/>
    </row>
    <row r="51" spans="1:6" ht="12.75">
      <c r="A51" s="71" t="s">
        <v>315</v>
      </c>
      <c r="B51" s="70">
        <v>26</v>
      </c>
      <c r="C51" s="70">
        <v>7</v>
      </c>
      <c r="D51" s="70">
        <v>14</v>
      </c>
      <c r="E51" s="67">
        <v>5</v>
      </c>
      <c r="F51" s="68"/>
    </row>
    <row r="52" spans="1:6" ht="12.75">
      <c r="A52" s="71" t="s">
        <v>325</v>
      </c>
      <c r="B52" s="70">
        <v>24</v>
      </c>
      <c r="C52" s="70">
        <v>7</v>
      </c>
      <c r="D52" s="70">
        <v>15</v>
      </c>
      <c r="E52" s="67">
        <v>2</v>
      </c>
      <c r="F52" s="68"/>
    </row>
    <row r="53" spans="1:6" ht="12.75">
      <c r="A53" s="69" t="s">
        <v>319</v>
      </c>
      <c r="B53" s="70">
        <v>14</v>
      </c>
      <c r="C53" s="70">
        <v>4</v>
      </c>
      <c r="D53" s="70">
        <v>10</v>
      </c>
      <c r="E53" s="67">
        <v>0</v>
      </c>
      <c r="F53" s="68"/>
    </row>
    <row r="54" spans="1:6" ht="12.75">
      <c r="A54" s="71" t="s">
        <v>322</v>
      </c>
      <c r="B54" s="70">
        <v>5</v>
      </c>
      <c r="C54" s="70">
        <v>2</v>
      </c>
      <c r="D54" s="70">
        <v>2</v>
      </c>
      <c r="E54" s="67">
        <v>1</v>
      </c>
      <c r="F54" s="68"/>
    </row>
    <row r="55" spans="1:6" ht="7.5" customHeight="1">
      <c r="A55" s="69"/>
      <c r="B55" s="70"/>
      <c r="C55" s="70"/>
      <c r="D55" s="70"/>
      <c r="E55" s="67"/>
      <c r="F55" s="68"/>
    </row>
    <row r="56" spans="1:6" ht="30">
      <c r="A56" s="684" t="s">
        <v>393</v>
      </c>
      <c r="B56" s="70">
        <v>725</v>
      </c>
      <c r="C56" s="70">
        <v>130</v>
      </c>
      <c r="D56" s="70">
        <v>522</v>
      </c>
      <c r="E56" s="67">
        <v>73</v>
      </c>
      <c r="F56" s="68"/>
    </row>
    <row r="57" spans="1:6" ht="4.5" customHeight="1" thickBot="1">
      <c r="A57" s="88"/>
      <c r="B57" s="83"/>
      <c r="C57" s="83"/>
      <c r="D57" s="83"/>
      <c r="E57" s="83"/>
      <c r="F57" s="84"/>
    </row>
    <row r="58" spans="1:6" ht="13.5" thickTop="1">
      <c r="A58" s="33"/>
      <c r="B58" s="37"/>
      <c r="C58" s="37"/>
      <c r="D58" s="37"/>
      <c r="E58" s="37"/>
      <c r="F58" s="85"/>
    </row>
    <row r="59" spans="1:6" ht="12.75">
      <c r="A59" s="39" t="s">
        <v>349</v>
      </c>
      <c r="B59" s="31"/>
      <c r="C59" s="31"/>
      <c r="D59" s="31"/>
      <c r="E59" s="31"/>
      <c r="F59" s="32"/>
    </row>
    <row r="60" spans="1:6" ht="12.75">
      <c r="A60" s="118" t="s">
        <v>403</v>
      </c>
      <c r="B60" s="31"/>
      <c r="C60" s="31"/>
      <c r="D60" s="31"/>
      <c r="E60" s="31"/>
      <c r="F60" s="32"/>
    </row>
    <row r="61" spans="1:6" ht="4.5" customHeight="1">
      <c r="A61" s="33"/>
      <c r="B61" s="31"/>
      <c r="C61" s="31"/>
      <c r="D61" s="31"/>
      <c r="E61" s="31"/>
      <c r="F61" s="32"/>
    </row>
    <row r="62" spans="1:6" ht="12.75">
      <c r="A62" s="39" t="s">
        <v>317</v>
      </c>
      <c r="B62" s="31"/>
      <c r="C62" s="31"/>
      <c r="D62" s="31"/>
      <c r="E62" s="31"/>
      <c r="F62" s="32"/>
    </row>
    <row r="63" spans="1:6" ht="23.25" customHeight="1">
      <c r="A63" s="801" t="s">
        <v>365</v>
      </c>
      <c r="B63" s="801"/>
      <c r="C63" s="801"/>
      <c r="D63" s="801"/>
      <c r="E63" s="801"/>
      <c r="F63" s="801"/>
    </row>
    <row r="64" spans="1:6" ht="12" customHeight="1">
      <c r="A64" s="801" t="s">
        <v>116</v>
      </c>
      <c r="B64" s="801"/>
      <c r="C64" s="801"/>
      <c r="D64" s="801"/>
      <c r="E64" s="801"/>
      <c r="F64" s="801"/>
    </row>
    <row r="65" spans="1:6" ht="12.75">
      <c r="A65" s="118" t="s">
        <v>366</v>
      </c>
      <c r="B65" s="31"/>
      <c r="C65" s="31"/>
      <c r="D65" s="31"/>
      <c r="E65" s="31"/>
      <c r="F65" s="32"/>
    </row>
    <row r="66" spans="2:6" ht="12.75">
      <c r="B66" s="6"/>
      <c r="C66" s="6"/>
      <c r="D66" s="6"/>
      <c r="E66" s="6"/>
      <c r="F66" s="11"/>
    </row>
    <row r="67" spans="2:6" ht="12.75">
      <c r="B67" s="6"/>
      <c r="C67" s="6"/>
      <c r="D67" s="6"/>
      <c r="E67" s="6"/>
      <c r="F67" s="11"/>
    </row>
    <row r="68" spans="2:6" ht="12.75">
      <c r="B68" s="6"/>
      <c r="C68" s="6"/>
      <c r="D68" s="6"/>
      <c r="E68" s="6"/>
      <c r="F68" s="11"/>
    </row>
    <row r="69" spans="2:6" ht="12.75">
      <c r="B69" s="6"/>
      <c r="C69" s="6"/>
      <c r="D69" s="6"/>
      <c r="E69" s="6"/>
      <c r="F69" s="11"/>
    </row>
    <row r="70" spans="2:6" ht="12.75">
      <c r="B70" s="6"/>
      <c r="C70" s="6"/>
      <c r="D70" s="6"/>
      <c r="E70" s="6"/>
      <c r="F70" s="11"/>
    </row>
    <row r="71" spans="2:6" ht="12.75">
      <c r="B71" s="6"/>
      <c r="C71" s="6"/>
      <c r="D71" s="6"/>
      <c r="E71" s="6"/>
      <c r="F71" s="11"/>
    </row>
    <row r="72" spans="2:6" ht="12.75">
      <c r="B72" s="6"/>
      <c r="C72" s="6"/>
      <c r="D72" s="6"/>
      <c r="E72" s="6"/>
      <c r="F72" s="11"/>
    </row>
    <row r="73" spans="2:6" ht="12.75">
      <c r="B73" s="6"/>
      <c r="C73" s="6"/>
      <c r="D73" s="6"/>
      <c r="E73" s="6"/>
      <c r="F73" s="11"/>
    </row>
    <row r="74" spans="2:6" ht="12.75">
      <c r="B74" s="6"/>
      <c r="C74" s="6"/>
      <c r="D74" s="6"/>
      <c r="E74" s="6"/>
      <c r="F74" s="11"/>
    </row>
    <row r="75" spans="2:6" ht="12.75">
      <c r="B75" s="6"/>
      <c r="C75" s="6"/>
      <c r="D75" s="6"/>
      <c r="E75" s="6"/>
      <c r="F75" s="11"/>
    </row>
    <row r="76" spans="2:6" ht="12.75">
      <c r="B76" s="6"/>
      <c r="C76" s="6"/>
      <c r="D76" s="6"/>
      <c r="E76" s="6"/>
      <c r="F76" s="11"/>
    </row>
    <row r="77" spans="2:6" ht="12.75">
      <c r="B77" s="6"/>
      <c r="C77" s="6"/>
      <c r="D77" s="6"/>
      <c r="E77" s="6"/>
      <c r="F77" s="11"/>
    </row>
    <row r="78" spans="2:6" ht="12.75">
      <c r="B78" s="6"/>
      <c r="C78" s="6"/>
      <c r="D78" s="6"/>
      <c r="E78" s="6"/>
      <c r="F78" s="11"/>
    </row>
    <row r="79" spans="2:6" ht="12.75">
      <c r="B79" s="6"/>
      <c r="C79" s="6"/>
      <c r="D79" s="6"/>
      <c r="E79" s="6"/>
      <c r="F79" s="11"/>
    </row>
    <row r="80" spans="2:6" ht="12.75">
      <c r="B80" s="6"/>
      <c r="C80" s="6"/>
      <c r="D80" s="6"/>
      <c r="E80" s="6"/>
      <c r="F80" s="11"/>
    </row>
    <row r="81" spans="2:6" ht="12.75">
      <c r="B81" s="6"/>
      <c r="C81" s="6"/>
      <c r="D81" s="6"/>
      <c r="E81" s="6"/>
      <c r="F81" s="11"/>
    </row>
    <row r="82" spans="2:6" ht="12.75">
      <c r="B82" s="6"/>
      <c r="C82" s="6"/>
      <c r="D82" s="6"/>
      <c r="E82" s="6"/>
      <c r="F82" s="11"/>
    </row>
    <row r="83" spans="2:6" ht="12.75">
      <c r="B83" s="6"/>
      <c r="C83" s="6"/>
      <c r="D83" s="6"/>
      <c r="E83" s="6"/>
      <c r="F83" s="11"/>
    </row>
    <row r="84" spans="2:6" ht="12.75">
      <c r="B84" s="6"/>
      <c r="C84" s="6"/>
      <c r="D84" s="6"/>
      <c r="E84" s="6"/>
      <c r="F84" s="11"/>
    </row>
    <row r="85" spans="2:6" ht="12.75">
      <c r="B85" s="6"/>
      <c r="C85" s="6"/>
      <c r="D85" s="6"/>
      <c r="E85" s="6"/>
      <c r="F85" s="11"/>
    </row>
    <row r="86" spans="2:6" ht="12.75">
      <c r="B86" s="6"/>
      <c r="C86" s="6"/>
      <c r="D86" s="6"/>
      <c r="E86" s="6"/>
      <c r="F86" s="11"/>
    </row>
    <row r="87" spans="2:6" ht="12.75">
      <c r="B87" s="6"/>
      <c r="C87" s="6"/>
      <c r="D87" s="6"/>
      <c r="E87" s="6"/>
      <c r="F87" s="11"/>
    </row>
    <row r="88" spans="2:6" ht="12.75">
      <c r="B88" s="6"/>
      <c r="C88" s="6"/>
      <c r="D88" s="6"/>
      <c r="E88" s="6"/>
      <c r="F88" s="11"/>
    </row>
    <row r="89" spans="4:5" ht="12.75">
      <c r="D89" s="7"/>
      <c r="E89" s="6"/>
    </row>
    <row r="90" spans="4:5" ht="12.75">
      <c r="D90" s="6"/>
      <c r="E90" s="6"/>
    </row>
    <row r="91" spans="4:5" ht="12.75">
      <c r="D91" s="6"/>
      <c r="E91" s="6"/>
    </row>
    <row r="92" spans="1:5" ht="12.75">
      <c r="A92" s="8"/>
      <c r="D92" s="6"/>
      <c r="E92" s="6"/>
    </row>
    <row r="93" spans="4:5" ht="12.75">
      <c r="D93" s="6"/>
      <c r="E93" s="6"/>
    </row>
    <row r="94" spans="4:5" ht="12.75">
      <c r="D94" s="6"/>
      <c r="E94" s="6"/>
    </row>
    <row r="95" spans="4:5" ht="12.75">
      <c r="D95" s="6"/>
      <c r="E95" s="6"/>
    </row>
    <row r="96" spans="4:5" ht="12.75">
      <c r="D96" s="6"/>
      <c r="E96" s="6"/>
    </row>
    <row r="97" spans="4:5" ht="12.75">
      <c r="D97" s="6"/>
      <c r="E97" s="6"/>
    </row>
    <row r="98" spans="4:5" ht="12.75">
      <c r="D98" s="6"/>
      <c r="E98" s="6"/>
    </row>
    <row r="99" spans="4:5" ht="12.75">
      <c r="D99" s="6"/>
      <c r="E99" s="6"/>
    </row>
    <row r="100" spans="4:5" ht="12.75">
      <c r="D100" s="6"/>
      <c r="E100" s="6"/>
    </row>
    <row r="101" spans="4:5" ht="12.75">
      <c r="D101" s="6"/>
      <c r="E101" s="6"/>
    </row>
    <row r="102" spans="4:5" ht="12.75">
      <c r="D102" s="6"/>
      <c r="E102" s="6"/>
    </row>
    <row r="103" spans="4:5" ht="12.75">
      <c r="D103" s="6"/>
      <c r="E103" s="6"/>
    </row>
    <row r="104" spans="4:5" ht="12.75">
      <c r="D104" s="6"/>
      <c r="E104" s="6"/>
    </row>
    <row r="105" spans="4:5" ht="12.75">
      <c r="D105" s="6"/>
      <c r="E105" s="6"/>
    </row>
    <row r="106" spans="4:5" ht="12.75">
      <c r="D106" s="6"/>
      <c r="E106" s="6"/>
    </row>
    <row r="107" spans="4:5" ht="12.75">
      <c r="D107" s="6"/>
      <c r="E107" s="6"/>
    </row>
    <row r="108" spans="4:5" ht="12.75">
      <c r="D108" s="6"/>
      <c r="E108" s="6"/>
    </row>
  </sheetData>
  <sheetProtection/>
  <mergeCells count="5">
    <mergeCell ref="A63:F63"/>
    <mergeCell ref="A64:F64"/>
    <mergeCell ref="A11:B11"/>
    <mergeCell ref="A26:B26"/>
    <mergeCell ref="A44:B44"/>
  </mergeCells>
  <printOptions/>
  <pageMargins left="0.75" right="0.75" top="1" bottom="1" header="0.5" footer="0.5"/>
  <pageSetup horizontalDpi="600" verticalDpi="600" orientation="landscape" r:id="rId1"/>
  <headerFooter alignWithMargins="0">
    <oddFooter>&amp;CPage &amp;P of &amp;N</oddFooter>
  </headerFooter>
  <rowBreaks count="1" manualBreakCount="1">
    <brk id="33" max="255" man="1"/>
  </rowBreaks>
</worksheet>
</file>

<file path=xl/worksheets/sheet4.xml><?xml version="1.0" encoding="utf-8"?>
<worksheet xmlns="http://schemas.openxmlformats.org/spreadsheetml/2006/main" xmlns:r="http://schemas.openxmlformats.org/officeDocument/2006/relationships">
  <sheetPr codeName="Sheet4"/>
  <dimension ref="A1:AA245"/>
  <sheetViews>
    <sheetView zoomScaleSheetLayoutView="100" zoomScalePageLayoutView="0" workbookViewId="0" topLeftCell="A139">
      <selection activeCell="D80" sqref="D80"/>
    </sheetView>
  </sheetViews>
  <sheetFormatPr defaultColWidth="9.140625" defaultRowHeight="12.75"/>
  <cols>
    <col min="1" max="1" width="25.8515625" style="0" customWidth="1"/>
    <col min="2" max="2" width="10.8515625" style="0" customWidth="1"/>
    <col min="3" max="3" width="13.140625" style="0" customWidth="1"/>
    <col min="4" max="4" width="11.28125" style="0" customWidth="1"/>
    <col min="5" max="5" width="12.140625" style="0" customWidth="1"/>
    <col min="6" max="6" width="13.421875" style="0" customWidth="1"/>
    <col min="7" max="7" width="13.28125" style="0" customWidth="1"/>
    <col min="8" max="8" width="12.8515625" style="0" customWidth="1"/>
    <col min="9" max="9" width="12.00390625" style="0" customWidth="1"/>
    <col min="10" max="10" width="10.00390625" style="0" customWidth="1"/>
    <col min="11" max="11" width="11.421875" style="0" customWidth="1"/>
    <col min="13" max="13" width="10.140625" style="0" customWidth="1"/>
    <col min="14" max="15" width="10.421875" style="0" customWidth="1"/>
  </cols>
  <sheetData>
    <row r="1" spans="1:11" ht="18" customHeight="1">
      <c r="A1" s="833" t="s">
        <v>410</v>
      </c>
      <c r="B1" s="834"/>
      <c r="C1" s="834"/>
      <c r="D1" s="834"/>
      <c r="E1" s="834"/>
      <c r="F1" s="834"/>
      <c r="G1" s="834"/>
      <c r="H1" s="834"/>
      <c r="I1" s="767"/>
      <c r="J1" s="65"/>
      <c r="K1" s="65"/>
    </row>
    <row r="2" spans="1:2" ht="15.75">
      <c r="A2" s="9" t="s">
        <v>136</v>
      </c>
      <c r="B2" s="341"/>
    </row>
    <row r="3" ht="12.75">
      <c r="A3" s="1" t="s">
        <v>438</v>
      </c>
    </row>
    <row r="5" ht="13.5" thickBot="1">
      <c r="A5" s="1"/>
    </row>
    <row r="6" spans="1:9" ht="12.75">
      <c r="A6" s="164" t="s">
        <v>300</v>
      </c>
      <c r="B6" s="165"/>
      <c r="C6" s="165"/>
      <c r="D6" s="165"/>
      <c r="E6" s="219"/>
      <c r="F6" s="210"/>
      <c r="G6" s="155"/>
      <c r="H6" s="155"/>
      <c r="I6" s="156"/>
    </row>
    <row r="7" spans="1:9" ht="12.75">
      <c r="A7" s="166"/>
      <c r="B7" s="40"/>
      <c r="C7" s="40"/>
      <c r="D7" s="40"/>
      <c r="E7" s="42"/>
      <c r="F7" s="167"/>
      <c r="G7" s="20"/>
      <c r="H7" s="20"/>
      <c r="I7" s="157"/>
    </row>
    <row r="8" spans="1:9" ht="39" customHeight="1">
      <c r="A8" s="158" t="s">
        <v>328</v>
      </c>
      <c r="B8" s="41" t="s">
        <v>368</v>
      </c>
      <c r="C8" s="41" t="s">
        <v>386</v>
      </c>
      <c r="D8" s="42"/>
      <c r="E8" s="42"/>
      <c r="F8" s="168"/>
      <c r="G8" s="135"/>
      <c r="H8" s="20"/>
      <c r="I8" s="157"/>
    </row>
    <row r="9" spans="1:9" ht="12.75">
      <c r="A9" s="159">
        <v>2001</v>
      </c>
      <c r="B9" s="94">
        <v>19</v>
      </c>
      <c r="C9" s="95"/>
      <c r="D9" s="42"/>
      <c r="E9" s="42"/>
      <c r="F9" s="168"/>
      <c r="G9" s="135"/>
      <c r="H9" s="20"/>
      <c r="I9" s="157"/>
    </row>
    <row r="10" spans="1:9" ht="12.75">
      <c r="A10" s="159">
        <v>2002</v>
      </c>
      <c r="B10" s="94">
        <v>23</v>
      </c>
      <c r="C10" s="95"/>
      <c r="D10" s="42"/>
      <c r="E10" s="42"/>
      <c r="F10" s="168"/>
      <c r="G10" s="135"/>
      <c r="H10" s="20"/>
      <c r="I10" s="157"/>
    </row>
    <row r="11" spans="1:9" ht="12.75">
      <c r="A11" s="159">
        <v>2003</v>
      </c>
      <c r="B11" s="94">
        <v>11</v>
      </c>
      <c r="C11" s="95"/>
      <c r="D11" s="42"/>
      <c r="E11" s="42"/>
      <c r="F11" s="168"/>
      <c r="G11" s="135"/>
      <c r="H11" s="20"/>
      <c r="I11" s="157"/>
    </row>
    <row r="12" spans="1:9" ht="12.75">
      <c r="A12" s="159">
        <v>2004</v>
      </c>
      <c r="B12" s="94">
        <v>13</v>
      </c>
      <c r="C12" s="95"/>
      <c r="D12" s="42"/>
      <c r="E12" s="42"/>
      <c r="F12" s="168"/>
      <c r="G12" s="135"/>
      <c r="H12" s="20"/>
      <c r="I12" s="157"/>
    </row>
    <row r="13" spans="1:9" ht="12.75">
      <c r="A13" s="159" t="s">
        <v>367</v>
      </c>
      <c r="B13" s="94">
        <v>14</v>
      </c>
      <c r="C13" s="94">
        <f>AVERAGE(B9:B13)</f>
        <v>16</v>
      </c>
      <c r="D13" s="42"/>
      <c r="E13" s="42"/>
      <c r="F13" s="168"/>
      <c r="G13" s="135"/>
      <c r="H13" s="20"/>
      <c r="I13" s="157"/>
    </row>
    <row r="14" spans="1:9" ht="12.75">
      <c r="A14" s="159" t="s">
        <v>333</v>
      </c>
      <c r="B14" s="94">
        <f>SUM(C13)</f>
        <v>16</v>
      </c>
      <c r="C14" s="95"/>
      <c r="D14" s="42"/>
      <c r="E14" s="42"/>
      <c r="F14" s="168"/>
      <c r="G14" s="135"/>
      <c r="H14" s="20"/>
      <c r="I14" s="157"/>
    </row>
    <row r="15" spans="1:9" ht="12.75">
      <c r="A15" s="159" t="s">
        <v>334</v>
      </c>
      <c r="B15" s="94">
        <f>SUM(C13)</f>
        <v>16</v>
      </c>
      <c r="C15" s="95"/>
      <c r="D15" s="42"/>
      <c r="E15" s="42"/>
      <c r="F15" s="168"/>
      <c r="G15" s="135"/>
      <c r="H15" s="20"/>
      <c r="I15" s="157"/>
    </row>
    <row r="16" spans="1:9" ht="12.75">
      <c r="A16" s="159"/>
      <c r="B16" s="43"/>
      <c r="C16" s="44"/>
      <c r="D16" s="42"/>
      <c r="E16" s="42"/>
      <c r="F16" s="168"/>
      <c r="G16" s="135"/>
      <c r="H16" s="20"/>
      <c r="I16" s="157"/>
    </row>
    <row r="17" spans="1:9" ht="12.75">
      <c r="A17" s="160" t="s">
        <v>317</v>
      </c>
      <c r="B17" s="44"/>
      <c r="C17" s="44"/>
      <c r="D17" s="44"/>
      <c r="E17" s="44"/>
      <c r="F17" s="169"/>
      <c r="G17" s="135"/>
      <c r="H17" s="20"/>
      <c r="I17" s="157"/>
    </row>
    <row r="18" spans="1:14" ht="12.75">
      <c r="A18" s="161" t="s">
        <v>269</v>
      </c>
      <c r="B18" s="45"/>
      <c r="C18" s="45"/>
      <c r="D18" s="45"/>
      <c r="E18" s="45"/>
      <c r="F18" s="170"/>
      <c r="G18" s="133"/>
      <c r="H18" s="133"/>
      <c r="I18" s="162"/>
      <c r="J18" s="5"/>
      <c r="K18" s="5"/>
      <c r="L18" s="5"/>
      <c r="M18" s="5"/>
      <c r="N18" s="5"/>
    </row>
    <row r="19" spans="1:9" ht="13.5" customHeight="1">
      <c r="A19" s="846" t="s">
        <v>369</v>
      </c>
      <c r="B19" s="823"/>
      <c r="C19" s="823"/>
      <c r="D19" s="823"/>
      <c r="E19" s="823"/>
      <c r="F19" s="823"/>
      <c r="G19" s="767"/>
      <c r="H19" s="767"/>
      <c r="I19" s="824"/>
    </row>
    <row r="20" spans="1:10" ht="26.25" customHeight="1" thickBot="1">
      <c r="A20" s="847" t="s">
        <v>394</v>
      </c>
      <c r="B20" s="848"/>
      <c r="C20" s="848"/>
      <c r="D20" s="848"/>
      <c r="E20" s="848"/>
      <c r="F20" s="849"/>
      <c r="G20" s="849"/>
      <c r="H20" s="849"/>
      <c r="I20" s="850"/>
      <c r="J20" s="21"/>
    </row>
    <row r="21" spans="1:10" ht="12.75">
      <c r="A21" s="47"/>
      <c r="B21" s="48"/>
      <c r="C21" s="48"/>
      <c r="D21" s="48"/>
      <c r="E21" s="48"/>
      <c r="F21" s="46"/>
      <c r="G21" s="23"/>
      <c r="H21" s="21"/>
      <c r="I21" s="21"/>
      <c r="J21" s="21"/>
    </row>
    <row r="22" spans="1:10" ht="12.75">
      <c r="A22" s="47"/>
      <c r="B22" s="48"/>
      <c r="C22" s="48"/>
      <c r="D22" s="48"/>
      <c r="E22" s="48"/>
      <c r="F22" s="46"/>
      <c r="G22" s="23"/>
      <c r="H22" s="21"/>
      <c r="I22" s="21"/>
      <c r="J22" s="21"/>
    </row>
    <row r="23" spans="1:10" ht="13.5" thickBot="1">
      <c r="A23" s="47"/>
      <c r="B23" s="48"/>
      <c r="C23" s="48"/>
      <c r="D23" s="48"/>
      <c r="E23" s="48"/>
      <c r="F23" s="46"/>
      <c r="G23" s="23"/>
      <c r="H23" s="21"/>
      <c r="I23" s="21"/>
      <c r="J23" s="21"/>
    </row>
    <row r="24" spans="1:9" ht="12.75">
      <c r="A24" s="171" t="s">
        <v>389</v>
      </c>
      <c r="B24" s="172"/>
      <c r="C24" s="172"/>
      <c r="D24" s="172"/>
      <c r="E24" s="172"/>
      <c r="F24" s="189"/>
      <c r="G24" s="173"/>
      <c r="H24" s="155"/>
      <c r="I24" s="156"/>
    </row>
    <row r="25" spans="1:9" ht="15">
      <c r="A25" s="174"/>
      <c r="B25" s="49"/>
      <c r="C25" s="49" t="s">
        <v>21</v>
      </c>
      <c r="D25" s="49" t="s">
        <v>23</v>
      </c>
      <c r="E25" s="49"/>
      <c r="F25" s="190"/>
      <c r="G25" s="175"/>
      <c r="H25" s="20"/>
      <c r="I25" s="157"/>
    </row>
    <row r="26" spans="1:9" ht="12.75">
      <c r="A26" s="176" t="s">
        <v>350</v>
      </c>
      <c r="B26" s="57" t="s">
        <v>274</v>
      </c>
      <c r="C26" s="49" t="s">
        <v>22</v>
      </c>
      <c r="D26" s="49" t="s">
        <v>24</v>
      </c>
      <c r="E26" s="57" t="s">
        <v>400</v>
      </c>
      <c r="F26" s="191"/>
      <c r="G26" s="175"/>
      <c r="H26" s="20"/>
      <c r="I26" s="157"/>
    </row>
    <row r="27" spans="1:9" ht="12.75">
      <c r="A27" s="177"/>
      <c r="B27" s="57" t="s">
        <v>401</v>
      </c>
      <c r="C27" s="49" t="s">
        <v>371</v>
      </c>
      <c r="D27" s="49" t="s">
        <v>372</v>
      </c>
      <c r="E27" s="49" t="s">
        <v>125</v>
      </c>
      <c r="F27" s="191"/>
      <c r="G27" s="175"/>
      <c r="H27" s="20"/>
      <c r="I27" s="157"/>
    </row>
    <row r="28" spans="1:9" ht="12.75">
      <c r="A28" s="178" t="s">
        <v>370</v>
      </c>
      <c r="B28" s="93">
        <v>729</v>
      </c>
      <c r="C28" s="93">
        <f>SUM((B28)*0.18)</f>
        <v>131.22</v>
      </c>
      <c r="D28" s="96">
        <f>SUM((B28)*0.72)</f>
        <v>524.88</v>
      </c>
      <c r="E28" s="93">
        <v>73</v>
      </c>
      <c r="F28" s="192"/>
      <c r="G28" s="179"/>
      <c r="H28" s="20"/>
      <c r="I28" s="157"/>
    </row>
    <row r="29" spans="1:9" ht="12.75">
      <c r="A29" s="180" t="s">
        <v>387</v>
      </c>
      <c r="B29" s="93">
        <f>SUM(B28+B14)</f>
        <v>745</v>
      </c>
      <c r="C29" s="93">
        <f>SUM((1-B142)*C28+B14)</f>
        <v>120.976</v>
      </c>
      <c r="D29" s="96">
        <f>SUM(B29-C29-E29)</f>
        <v>533.528</v>
      </c>
      <c r="E29" s="93">
        <f>SUM(1/B141*D28+E28)</f>
        <v>90.496</v>
      </c>
      <c r="F29" s="192"/>
      <c r="G29" s="179"/>
      <c r="H29" s="20"/>
      <c r="I29" s="157"/>
    </row>
    <row r="30" spans="1:9" ht="12.75">
      <c r="A30" s="180" t="s">
        <v>388</v>
      </c>
      <c r="B30" s="93">
        <f>SUM(B29+B15)</f>
        <v>761</v>
      </c>
      <c r="C30" s="93">
        <f>SUM((1-B142)*C29+B15)</f>
        <v>112.7808</v>
      </c>
      <c r="D30" s="96">
        <f>SUM(B30-C30-E30)</f>
        <v>539.9389333333334</v>
      </c>
      <c r="E30" s="93">
        <f>SUM(1/B141*D29+E29)</f>
        <v>108.28026666666666</v>
      </c>
      <c r="F30" s="192"/>
      <c r="G30" s="179"/>
      <c r="H30" s="20"/>
      <c r="I30" s="157"/>
    </row>
    <row r="31" spans="1:9" ht="12.75">
      <c r="A31" s="180"/>
      <c r="B31" s="93"/>
      <c r="C31" s="93"/>
      <c r="D31" s="93"/>
      <c r="E31" s="93"/>
      <c r="F31" s="192"/>
      <c r="G31" s="179"/>
      <c r="H31" s="20"/>
      <c r="I31" s="157"/>
    </row>
    <row r="32" spans="1:9" ht="12.75">
      <c r="A32" s="181" t="s">
        <v>330</v>
      </c>
      <c r="B32" s="50"/>
      <c r="C32" s="50"/>
      <c r="D32" s="50"/>
      <c r="E32" s="50"/>
      <c r="F32" s="141"/>
      <c r="G32" s="28"/>
      <c r="H32" s="20"/>
      <c r="I32" s="157"/>
    </row>
    <row r="33" spans="1:9" ht="12.75">
      <c r="A33" s="182" t="s">
        <v>272</v>
      </c>
      <c r="B33" s="50"/>
      <c r="C33" s="50"/>
      <c r="D33" s="50"/>
      <c r="E33" s="50"/>
      <c r="F33" s="193"/>
      <c r="G33" s="183"/>
      <c r="H33" s="20"/>
      <c r="I33" s="157"/>
    </row>
    <row r="34" spans="1:9" ht="14.25" customHeight="1">
      <c r="A34" s="822" t="s">
        <v>391</v>
      </c>
      <c r="B34" s="823"/>
      <c r="C34" s="823"/>
      <c r="D34" s="823"/>
      <c r="E34" s="823"/>
      <c r="F34" s="823"/>
      <c r="G34" s="767"/>
      <c r="H34" s="767"/>
      <c r="I34" s="824"/>
    </row>
    <row r="35" spans="1:9" ht="12.75">
      <c r="A35" s="182" t="s">
        <v>270</v>
      </c>
      <c r="B35" s="50"/>
      <c r="C35" s="50"/>
      <c r="D35" s="50"/>
      <c r="E35" s="50"/>
      <c r="F35" s="193"/>
      <c r="G35" s="183"/>
      <c r="H35" s="20"/>
      <c r="I35" s="157"/>
    </row>
    <row r="36" spans="1:9" ht="14.25" customHeight="1">
      <c r="A36" s="182" t="s">
        <v>271</v>
      </c>
      <c r="B36" s="50"/>
      <c r="C36" s="50"/>
      <c r="D36" s="50"/>
      <c r="E36" s="50"/>
      <c r="F36" s="193"/>
      <c r="G36" s="183"/>
      <c r="H36" s="20"/>
      <c r="I36" s="157"/>
    </row>
    <row r="37" spans="1:9" ht="13.5" thickBot="1">
      <c r="A37" s="184" t="s">
        <v>3</v>
      </c>
      <c r="B37" s="185"/>
      <c r="C37" s="185"/>
      <c r="D37" s="185"/>
      <c r="E37" s="185"/>
      <c r="F37" s="194"/>
      <c r="G37" s="186"/>
      <c r="H37" s="187"/>
      <c r="I37" s="188"/>
    </row>
    <row r="38" spans="1:7" ht="12.75">
      <c r="A38" s="50"/>
      <c r="B38" s="50"/>
      <c r="C38" s="50"/>
      <c r="D38" s="50"/>
      <c r="E38" s="50"/>
      <c r="G38" s="2"/>
    </row>
    <row r="39" spans="1:7" ht="13.5" thickBot="1">
      <c r="A39" s="50"/>
      <c r="B39" s="50"/>
      <c r="C39" s="50"/>
      <c r="D39" s="50"/>
      <c r="E39" s="50"/>
      <c r="F39" s="714" t="s">
        <v>364</v>
      </c>
      <c r="G39" s="2"/>
    </row>
    <row r="40" spans="1:10" ht="12.75">
      <c r="A40" s="154" t="s">
        <v>392</v>
      </c>
      <c r="B40" s="90"/>
      <c r="C40" s="90"/>
      <c r="D40" s="90"/>
      <c r="E40" s="208"/>
      <c r="F40" s="210"/>
      <c r="G40" s="195"/>
      <c r="H40" s="155"/>
      <c r="I40" s="156"/>
      <c r="J40" s="223"/>
    </row>
    <row r="41" spans="1:10" ht="15">
      <c r="A41" s="196"/>
      <c r="B41" s="19"/>
      <c r="C41" s="19"/>
      <c r="D41" s="19"/>
      <c r="E41" s="19"/>
      <c r="F41" s="211"/>
      <c r="G41" s="19"/>
      <c r="H41" s="20"/>
      <c r="I41" s="157"/>
      <c r="J41" s="20"/>
    </row>
    <row r="42" spans="1:15" ht="48">
      <c r="A42" s="158" t="s">
        <v>328</v>
      </c>
      <c r="B42" s="41" t="s">
        <v>397</v>
      </c>
      <c r="C42" s="41" t="s">
        <v>329</v>
      </c>
      <c r="D42" s="41" t="s">
        <v>398</v>
      </c>
      <c r="E42" s="41" t="s">
        <v>385</v>
      </c>
      <c r="F42" s="212" t="s">
        <v>399</v>
      </c>
      <c r="G42" s="92"/>
      <c r="H42" s="92"/>
      <c r="I42" s="197"/>
      <c r="J42" s="92"/>
      <c r="K42" s="33"/>
      <c r="L42" s="33"/>
      <c r="M42" s="33"/>
      <c r="N42" s="33"/>
      <c r="O42" s="33"/>
    </row>
    <row r="43" spans="1:15" ht="12.75">
      <c r="A43" s="198">
        <v>2008</v>
      </c>
      <c r="B43" s="52">
        <f>SUM(B30+C43)</f>
        <v>777</v>
      </c>
      <c r="C43" s="53">
        <f>SUM(B140)</f>
        <v>16</v>
      </c>
      <c r="D43" s="53">
        <f>SUM(C30*(1-B142)+C43)</f>
        <v>106.22464000000001</v>
      </c>
      <c r="E43" s="53">
        <f>SUM(B43-D43-F43)</f>
        <v>544.4971288888888</v>
      </c>
      <c r="F43" s="213">
        <f>SUM(1/B141*D30+E30)</f>
        <v>126.27823111111111</v>
      </c>
      <c r="G43" s="92"/>
      <c r="H43" s="92"/>
      <c r="I43" s="197"/>
      <c r="J43" s="92"/>
      <c r="K43" s="33"/>
      <c r="L43" s="33"/>
      <c r="M43" s="33"/>
      <c r="N43" s="33"/>
      <c r="O43" s="33"/>
    </row>
    <row r="44" spans="1:15" ht="12.75">
      <c r="A44" s="198">
        <v>2009</v>
      </c>
      <c r="B44" s="53">
        <f>SUM(B43+C44)</f>
        <v>793</v>
      </c>
      <c r="C44" s="53">
        <f aca="true" t="shared" si="0" ref="C44:C49">SUM(C43)</f>
        <v>16</v>
      </c>
      <c r="D44" s="53">
        <f>SUM(D43*(1-B142)+C44)</f>
        <v>100.979712</v>
      </c>
      <c r="E44" s="53">
        <f>SUM(B44-D44-F44)</f>
        <v>547.5921525925926</v>
      </c>
      <c r="F44" s="213">
        <f>SUM(1/B141*E43)+F43</f>
        <v>144.4281354074074</v>
      </c>
      <c r="G44" s="92"/>
      <c r="H44" s="92"/>
      <c r="I44" s="197"/>
      <c r="J44" s="92"/>
      <c r="K44" s="33"/>
      <c r="L44" s="33"/>
      <c r="M44" s="33"/>
      <c r="N44" s="33"/>
      <c r="O44" s="33"/>
    </row>
    <row r="45" spans="1:15" ht="12.75">
      <c r="A45" s="198">
        <v>2010</v>
      </c>
      <c r="B45" s="53">
        <f>SUM(B44+C45)</f>
        <v>809</v>
      </c>
      <c r="C45" s="53">
        <f t="shared" si="0"/>
        <v>16</v>
      </c>
      <c r="D45" s="53">
        <f>SUM(D44*(1-B142)+C45)</f>
        <v>96.78376960000001</v>
      </c>
      <c r="E45" s="53">
        <f aca="true" t="shared" si="1" ref="E45:E65">SUM(B45-D45-F45)</f>
        <v>549.5350232395061</v>
      </c>
      <c r="F45" s="213">
        <f>SUM(1/B141*E44)+F44</f>
        <v>162.68120716049384</v>
      </c>
      <c r="G45" s="92"/>
      <c r="H45" s="92"/>
      <c r="I45" s="197"/>
      <c r="J45" s="92"/>
      <c r="K45" s="33"/>
      <c r="L45" s="33"/>
      <c r="M45" s="33"/>
      <c r="N45" s="33"/>
      <c r="O45" s="33"/>
    </row>
    <row r="46" spans="1:15" ht="12.75">
      <c r="A46" s="198">
        <v>2011</v>
      </c>
      <c r="B46" s="53">
        <f aca="true" t="shared" si="2" ref="B46:B65">SUM(B45+C46)</f>
        <v>825</v>
      </c>
      <c r="C46" s="53">
        <f t="shared" si="0"/>
        <v>16</v>
      </c>
      <c r="D46" s="53">
        <f>SUM(D45*(1-B142)+C46)</f>
        <v>93.42701568000001</v>
      </c>
      <c r="E46" s="53">
        <f t="shared" si="1"/>
        <v>550.5739430515225</v>
      </c>
      <c r="F46" s="213">
        <f>SUM(1/B141*E45)+F45</f>
        <v>180.99904126847738</v>
      </c>
      <c r="G46" s="92"/>
      <c r="H46" s="92"/>
      <c r="I46" s="197"/>
      <c r="J46" s="92"/>
      <c r="K46" s="33"/>
      <c r="L46" s="33"/>
      <c r="M46" s="33"/>
      <c r="N46" s="33"/>
      <c r="O46" s="33"/>
    </row>
    <row r="47" spans="1:15" ht="12.75">
      <c r="A47" s="198">
        <v>2012</v>
      </c>
      <c r="B47" s="53">
        <f t="shared" si="2"/>
        <v>841</v>
      </c>
      <c r="C47" s="53">
        <f t="shared" si="0"/>
        <v>16</v>
      </c>
      <c r="D47" s="53">
        <f>SUM(D46*(1-B142)+C47)</f>
        <v>90.741612544</v>
      </c>
      <c r="E47" s="53">
        <f t="shared" si="1"/>
        <v>550.9068814191386</v>
      </c>
      <c r="F47" s="213">
        <f>SUM(1/B141*E46)+F46</f>
        <v>199.35150603686148</v>
      </c>
      <c r="G47" s="92"/>
      <c r="H47" s="92"/>
      <c r="I47" s="197"/>
      <c r="J47" s="92"/>
      <c r="K47" s="33"/>
      <c r="L47" s="33"/>
      <c r="M47" s="33"/>
      <c r="N47" s="33"/>
      <c r="O47" s="33"/>
    </row>
    <row r="48" spans="1:15" ht="12.75">
      <c r="A48" s="198">
        <v>2013</v>
      </c>
      <c r="B48" s="53">
        <f t="shared" si="2"/>
        <v>857</v>
      </c>
      <c r="C48" s="53">
        <f>SUM(C47)</f>
        <v>16</v>
      </c>
      <c r="D48" s="53">
        <f>SUM(D47*(1-B142)+C48)</f>
        <v>88.59329003520001</v>
      </c>
      <c r="E48" s="53">
        <f t="shared" si="1"/>
        <v>550.6916412139673</v>
      </c>
      <c r="F48" s="213">
        <f>SUM(1/B141*E47)+F47</f>
        <v>217.71506875083276</v>
      </c>
      <c r="G48" s="92"/>
      <c r="H48" s="92"/>
      <c r="I48" s="197"/>
      <c r="J48" s="92"/>
      <c r="K48" s="33"/>
      <c r="L48" s="33"/>
      <c r="M48" s="33"/>
      <c r="N48" s="33"/>
      <c r="O48" s="33"/>
    </row>
    <row r="49" spans="1:15" ht="12.75">
      <c r="A49" s="198">
        <v>2014</v>
      </c>
      <c r="B49" s="53">
        <f t="shared" si="2"/>
        <v>873</v>
      </c>
      <c r="C49" s="53">
        <f t="shared" si="0"/>
        <v>16</v>
      </c>
      <c r="D49" s="53">
        <f>SUM(D48*(1-B142)+C49)</f>
        <v>86.87463202816001</v>
      </c>
      <c r="E49" s="53">
        <f t="shared" si="1"/>
        <v>550.0539111805417</v>
      </c>
      <c r="F49" s="213">
        <f>SUM(1/B141*E48)+F48</f>
        <v>236.07145679129832</v>
      </c>
      <c r="G49" s="92"/>
      <c r="H49" s="92"/>
      <c r="I49" s="197"/>
      <c r="J49" s="92"/>
      <c r="K49" s="33"/>
      <c r="L49" s="33"/>
      <c r="M49" s="33"/>
      <c r="N49" s="33"/>
      <c r="O49" s="33"/>
    </row>
    <row r="50" spans="1:15" ht="12.75">
      <c r="A50" s="198">
        <v>2015</v>
      </c>
      <c r="B50" s="53">
        <f t="shared" si="2"/>
        <v>889</v>
      </c>
      <c r="C50" s="53">
        <f aca="true" t="shared" si="3" ref="C50:C64">SUM(C49)</f>
        <v>16</v>
      </c>
      <c r="D50" s="53">
        <f>SUM(D49*(1-B142)+C50)</f>
        <v>85.49970562252801</v>
      </c>
      <c r="E50" s="53">
        <f t="shared" si="1"/>
        <v>549.0937072134889</v>
      </c>
      <c r="F50" s="213">
        <f>SUM(1/B141*E49)+F49</f>
        <v>254.40658716398303</v>
      </c>
      <c r="G50" s="92"/>
      <c r="H50" s="92"/>
      <c r="I50" s="197"/>
      <c r="J50" s="92"/>
      <c r="K50" s="33"/>
      <c r="L50" s="33"/>
      <c r="M50" s="33"/>
      <c r="N50" s="33"/>
      <c r="O50" s="33"/>
    </row>
    <row r="51" spans="1:15" ht="12.75">
      <c r="A51" s="198">
        <v>2016</v>
      </c>
      <c r="B51" s="53">
        <f t="shared" si="2"/>
        <v>905</v>
      </c>
      <c r="C51" s="53">
        <f t="shared" si="3"/>
        <v>16</v>
      </c>
      <c r="D51" s="53">
        <f>SUM(D50*(1-B142)+C51)</f>
        <v>84.3997644980224</v>
      </c>
      <c r="E51" s="53">
        <f t="shared" si="1"/>
        <v>547.8905247642117</v>
      </c>
      <c r="F51" s="213">
        <f>SUM(1/B141*E50)+F50</f>
        <v>272.709710737766</v>
      </c>
      <c r="G51" s="92"/>
      <c r="H51" s="92"/>
      <c r="I51" s="197"/>
      <c r="J51" s="92"/>
      <c r="K51" s="33"/>
      <c r="L51" s="33"/>
      <c r="M51" s="33"/>
      <c r="N51" s="33"/>
      <c r="O51" s="33"/>
    </row>
    <row r="52" spans="1:15" ht="12.75">
      <c r="A52" s="198">
        <v>2017</v>
      </c>
      <c r="B52" s="53">
        <f t="shared" si="2"/>
        <v>921</v>
      </c>
      <c r="C52" s="53">
        <f t="shared" si="3"/>
        <v>16</v>
      </c>
      <c r="D52" s="53">
        <f>SUM(D51*(1-B142)+C52)</f>
        <v>83.51981159841793</v>
      </c>
      <c r="E52" s="53">
        <f t="shared" si="1"/>
        <v>546.5074601716757</v>
      </c>
      <c r="F52" s="213">
        <f>SUM(1/B141*E51)+F51</f>
        <v>290.97272822990635</v>
      </c>
      <c r="G52" s="92"/>
      <c r="H52" s="92"/>
      <c r="I52" s="197"/>
      <c r="J52" s="92"/>
      <c r="K52" s="33"/>
      <c r="L52" s="33"/>
      <c r="M52" s="33"/>
      <c r="N52" s="33"/>
      <c r="O52" s="33"/>
    </row>
    <row r="53" spans="1:15" ht="12.75">
      <c r="A53" s="198">
        <v>2018</v>
      </c>
      <c r="B53" s="53">
        <f t="shared" si="2"/>
        <v>937</v>
      </c>
      <c r="C53" s="53">
        <f t="shared" si="3"/>
        <v>16</v>
      </c>
      <c r="D53" s="53">
        <f>SUM(D52*(1-B142)+C53)</f>
        <v>82.81584927873435</v>
      </c>
      <c r="E53" s="53">
        <f t="shared" si="1"/>
        <v>544.9945071523034</v>
      </c>
      <c r="F53" s="213">
        <f>SUM(1/B141*E52)+F52</f>
        <v>309.1896435689622</v>
      </c>
      <c r="G53" s="92"/>
      <c r="H53" s="92"/>
      <c r="I53" s="197"/>
      <c r="J53" s="92"/>
      <c r="K53" s="33"/>
      <c r="L53" s="33"/>
      <c r="M53" s="33"/>
      <c r="N53" s="33"/>
      <c r="O53" s="33"/>
    </row>
    <row r="54" spans="1:15" ht="12.75">
      <c r="A54" s="198">
        <v>2019</v>
      </c>
      <c r="B54" s="53">
        <f t="shared" si="2"/>
        <v>953</v>
      </c>
      <c r="C54" s="53">
        <f t="shared" si="3"/>
        <v>16</v>
      </c>
      <c r="D54" s="53">
        <f>SUM(D53*(1-B142)+C54)</f>
        <v>82.25267942298748</v>
      </c>
      <c r="E54" s="53">
        <f t="shared" si="1"/>
        <v>543.3911934363068</v>
      </c>
      <c r="F54" s="213">
        <f>SUM(1/B141*E53)+F53</f>
        <v>327.35612714070567</v>
      </c>
      <c r="G54" s="92"/>
      <c r="H54" s="92"/>
      <c r="I54" s="197"/>
      <c r="J54" s="92"/>
      <c r="K54" s="33"/>
      <c r="L54" s="33"/>
      <c r="M54" s="33"/>
      <c r="N54" s="33"/>
      <c r="O54" s="33"/>
    </row>
    <row r="55" spans="1:15" ht="12.75">
      <c r="A55" s="198">
        <v>2020</v>
      </c>
      <c r="B55" s="53">
        <f t="shared" si="2"/>
        <v>969</v>
      </c>
      <c r="C55" s="53">
        <f t="shared" si="3"/>
        <v>16</v>
      </c>
      <c r="D55" s="53">
        <f>SUM(D54*(1-B142)+C55)</f>
        <v>81.80214353838998</v>
      </c>
      <c r="E55" s="53">
        <f t="shared" si="1"/>
        <v>541.7286895396942</v>
      </c>
      <c r="F55" s="213">
        <f>SUM(1/B141*E54)+F54</f>
        <v>345.46916692191587</v>
      </c>
      <c r="G55" s="92"/>
      <c r="H55" s="92"/>
      <c r="I55" s="197"/>
      <c r="J55" s="92"/>
      <c r="K55" s="33"/>
      <c r="L55" s="33"/>
      <c r="M55" s="33"/>
      <c r="N55" s="33"/>
      <c r="O55" s="33"/>
    </row>
    <row r="56" spans="1:15" ht="12.75">
      <c r="A56" s="198">
        <v>2021</v>
      </c>
      <c r="B56" s="53">
        <f t="shared" si="2"/>
        <v>985</v>
      </c>
      <c r="C56" s="53">
        <f t="shared" si="3"/>
        <v>16</v>
      </c>
      <c r="D56" s="53">
        <f>SUM(D55*(1-B142)+C56)</f>
        <v>81.44171483071199</v>
      </c>
      <c r="E56" s="53">
        <f t="shared" si="1"/>
        <v>540.0314952627157</v>
      </c>
      <c r="F56" s="213">
        <f>SUM(1/B141*E55)+F55</f>
        <v>363.52678990657233</v>
      </c>
      <c r="G56" s="92"/>
      <c r="H56" s="92"/>
      <c r="I56" s="197"/>
      <c r="J56" s="92"/>
      <c r="K56" s="33"/>
      <c r="L56" s="33"/>
      <c r="M56" s="33"/>
      <c r="N56" s="33"/>
      <c r="O56" s="33"/>
    </row>
    <row r="57" spans="1:15" ht="12.75">
      <c r="A57" s="198">
        <v>2022</v>
      </c>
      <c r="B57" s="53">
        <f t="shared" si="2"/>
        <v>1001</v>
      </c>
      <c r="C57" s="53">
        <f t="shared" si="3"/>
        <v>16</v>
      </c>
      <c r="D57" s="53">
        <f>SUM(D56*(1-B142)+C57)</f>
        <v>81.15337186456959</v>
      </c>
      <c r="E57" s="53">
        <f t="shared" si="1"/>
        <v>538.3187883867674</v>
      </c>
      <c r="F57" s="213">
        <f>SUM(1/B141*E56)+F56</f>
        <v>381.52783974866287</v>
      </c>
      <c r="G57" s="92"/>
      <c r="H57" s="92"/>
      <c r="I57" s="197"/>
      <c r="J57" s="92"/>
      <c r="K57" s="33"/>
      <c r="L57" s="33"/>
      <c r="M57" s="33"/>
      <c r="N57" s="33"/>
      <c r="O57" s="33"/>
    </row>
    <row r="58" spans="1:15" ht="12.75">
      <c r="A58" s="198">
        <v>2023</v>
      </c>
      <c r="B58" s="53">
        <f t="shared" si="2"/>
        <v>1017</v>
      </c>
      <c r="C58" s="53">
        <f t="shared" si="3"/>
        <v>16</v>
      </c>
      <c r="D58" s="53">
        <f>SUM(D57*(1-B142)+C58)</f>
        <v>80.92269749165568</v>
      </c>
      <c r="E58" s="53">
        <f t="shared" si="1"/>
        <v>536.6055031467893</v>
      </c>
      <c r="F58" s="213">
        <f>SUM(1/B141*E57)+F57</f>
        <v>399.4717993615551</v>
      </c>
      <c r="G58" s="92"/>
      <c r="H58" s="92"/>
      <c r="I58" s="197"/>
      <c r="J58" s="92"/>
      <c r="K58" s="33"/>
      <c r="L58" s="33"/>
      <c r="M58" s="33"/>
      <c r="N58" s="33"/>
      <c r="O58" s="33"/>
    </row>
    <row r="59" spans="1:15" ht="12.75">
      <c r="A59" s="198">
        <v>2024</v>
      </c>
      <c r="B59" s="53">
        <f t="shared" si="2"/>
        <v>1033</v>
      </c>
      <c r="C59" s="53">
        <f t="shared" si="3"/>
        <v>16</v>
      </c>
      <c r="D59" s="53">
        <f>SUM(D58*(1-B142)+C59)</f>
        <v>80.73815799332455</v>
      </c>
      <c r="E59" s="53">
        <f t="shared" si="1"/>
        <v>534.9031925402273</v>
      </c>
      <c r="F59" s="213">
        <f>SUM(1/B141*E58)+F58</f>
        <v>417.35864946644807</v>
      </c>
      <c r="G59" s="92"/>
      <c r="H59" s="92"/>
      <c r="I59" s="197"/>
      <c r="J59" s="92"/>
      <c r="K59" s="33"/>
      <c r="L59" s="33"/>
      <c r="M59" s="33"/>
      <c r="N59" s="33"/>
      <c r="O59" s="33"/>
    </row>
    <row r="60" spans="1:15" ht="12.75">
      <c r="A60" s="198">
        <v>2025</v>
      </c>
      <c r="B60" s="53">
        <f t="shared" si="2"/>
        <v>1049</v>
      </c>
      <c r="C60" s="53">
        <f t="shared" si="3"/>
        <v>16</v>
      </c>
      <c r="D60" s="53">
        <f>SUM(D59*(1-B142)+C60)</f>
        <v>80.59052639465965</v>
      </c>
      <c r="E60" s="53">
        <f t="shared" si="1"/>
        <v>533.2207177208847</v>
      </c>
      <c r="F60" s="213">
        <f>SUM(1/B141*E59)+F59</f>
        <v>435.18875588445565</v>
      </c>
      <c r="G60" s="92"/>
      <c r="H60" s="92"/>
      <c r="I60" s="197"/>
      <c r="J60" s="92"/>
      <c r="K60" s="33"/>
      <c r="L60" s="33"/>
      <c r="M60" s="33"/>
      <c r="N60" s="33"/>
      <c r="O60" s="33"/>
    </row>
    <row r="61" spans="1:15" ht="12.75">
      <c r="A61" s="198">
        <v>2026</v>
      </c>
      <c r="B61" s="53">
        <f t="shared" si="2"/>
        <v>1065</v>
      </c>
      <c r="C61" s="53">
        <f t="shared" si="3"/>
        <v>16</v>
      </c>
      <c r="D61" s="53">
        <f>SUM(D60*(1-B142)+C61)</f>
        <v>80.47242111572773</v>
      </c>
      <c r="E61" s="53">
        <f t="shared" si="1"/>
        <v>531.5647990757872</v>
      </c>
      <c r="F61" s="213">
        <f>SUM(1/B141*E60)+F60</f>
        <v>452.96277980848515</v>
      </c>
      <c r="G61" s="92"/>
      <c r="H61" s="92"/>
      <c r="I61" s="197"/>
      <c r="J61" s="92"/>
      <c r="K61" s="33"/>
      <c r="L61" s="33"/>
      <c r="M61" s="33"/>
      <c r="N61" s="33"/>
      <c r="O61" s="33"/>
    </row>
    <row r="62" spans="1:15" ht="12.75">
      <c r="A62" s="198">
        <v>2027</v>
      </c>
      <c r="B62" s="53">
        <f t="shared" si="2"/>
        <v>1081</v>
      </c>
      <c r="C62" s="53">
        <f t="shared" si="3"/>
        <v>16</v>
      </c>
      <c r="D62" s="53">
        <f>SUM(D61*(1-B142)+C62)</f>
        <v>80.37793689258218</v>
      </c>
      <c r="E62" s="53">
        <f t="shared" si="1"/>
        <v>529.9404566630731</v>
      </c>
      <c r="F62" s="213">
        <f>SUM(1/B141*E61)+F61</f>
        <v>470.6816064443447</v>
      </c>
      <c r="G62" s="92"/>
      <c r="H62" s="92"/>
      <c r="I62" s="197"/>
      <c r="J62" s="92"/>
      <c r="K62" s="33"/>
      <c r="L62" s="33"/>
      <c r="M62" s="33"/>
      <c r="N62" s="33"/>
      <c r="O62" s="33"/>
    </row>
    <row r="63" spans="1:15" ht="12.75">
      <c r="A63" s="198">
        <v>2028</v>
      </c>
      <c r="B63" s="53">
        <f t="shared" si="2"/>
        <v>1097</v>
      </c>
      <c r="C63" s="53">
        <f t="shared" si="3"/>
        <v>16</v>
      </c>
      <c r="D63" s="53">
        <f>SUM(D62*(1-B142)+C63)</f>
        <v>80.30234951406575</v>
      </c>
      <c r="E63" s="53">
        <f t="shared" si="1"/>
        <v>528.3513621528205</v>
      </c>
      <c r="F63" s="213">
        <f>SUM(1/B141*E62)+F62</f>
        <v>488.3462883331138</v>
      </c>
      <c r="G63" s="92"/>
      <c r="H63" s="92"/>
      <c r="I63" s="197"/>
      <c r="J63" s="92"/>
      <c r="K63" s="33"/>
      <c r="L63" s="33"/>
      <c r="M63" s="33"/>
      <c r="N63" s="33"/>
      <c r="O63" s="33"/>
    </row>
    <row r="64" spans="1:15" ht="12.75">
      <c r="A64" s="198">
        <v>2029</v>
      </c>
      <c r="B64" s="53">
        <f t="shared" si="2"/>
        <v>1113</v>
      </c>
      <c r="C64" s="53">
        <f t="shared" si="3"/>
        <v>16</v>
      </c>
      <c r="D64" s="53">
        <f>SUM(D63*(1-B142)+C64)</f>
        <v>80.2418796112526</v>
      </c>
      <c r="E64" s="53">
        <f t="shared" si="1"/>
        <v>526.8001199838728</v>
      </c>
      <c r="F64" s="213">
        <f>SUM(1/B141*E63)+F63</f>
        <v>505.9580004048745</v>
      </c>
      <c r="G64" s="92"/>
      <c r="H64" s="92"/>
      <c r="I64" s="197"/>
      <c r="J64" s="92"/>
      <c r="K64" s="33"/>
      <c r="L64" s="33"/>
      <c r="M64" s="33"/>
      <c r="N64" s="33"/>
      <c r="O64" s="33"/>
    </row>
    <row r="65" spans="1:15" ht="12.75">
      <c r="A65" s="198">
        <v>2030</v>
      </c>
      <c r="B65" s="53">
        <f t="shared" si="2"/>
        <v>1129</v>
      </c>
      <c r="C65" s="53">
        <v>16</v>
      </c>
      <c r="D65" s="53">
        <f>SUM(D64*(1-B142)+C65)</f>
        <v>80.19350368900209</v>
      </c>
      <c r="E65" s="53">
        <f t="shared" si="1"/>
        <v>525.2884919066611</v>
      </c>
      <c r="F65" s="213">
        <f>SUM(1/B141*E64)+F64</f>
        <v>523.5180044043369</v>
      </c>
      <c r="G65" s="92"/>
      <c r="H65" s="92"/>
      <c r="I65" s="197"/>
      <c r="J65" s="92"/>
      <c r="K65" s="33"/>
      <c r="L65" s="33"/>
      <c r="M65" s="33"/>
      <c r="N65" s="33"/>
      <c r="O65" s="33"/>
    </row>
    <row r="66" spans="1:15" ht="12.75">
      <c r="A66" s="199" t="s">
        <v>331</v>
      </c>
      <c r="B66" s="54"/>
      <c r="C66" s="55">
        <f>SUM(C43:C65)</f>
        <v>368</v>
      </c>
      <c r="D66" s="54"/>
      <c r="E66" s="124"/>
      <c r="F66" s="213"/>
      <c r="G66" s="92"/>
      <c r="H66" s="92"/>
      <c r="I66" s="197"/>
      <c r="J66" s="92"/>
      <c r="K66" s="33"/>
      <c r="L66" s="33"/>
      <c r="M66" s="33"/>
      <c r="N66" s="33"/>
      <c r="O66" s="33"/>
    </row>
    <row r="67" spans="1:15" ht="12.75">
      <c r="A67" s="199" t="s">
        <v>332</v>
      </c>
      <c r="B67" s="54"/>
      <c r="C67" s="56">
        <f>B140</f>
        <v>16</v>
      </c>
      <c r="D67" s="54"/>
      <c r="E67" s="124">
        <f>AVERAGE(E43:E65)</f>
        <v>540.977464813193</v>
      </c>
      <c r="F67" s="213"/>
      <c r="G67" s="92"/>
      <c r="H67" s="92"/>
      <c r="I67" s="197"/>
      <c r="J67" s="92"/>
      <c r="K67" s="33"/>
      <c r="L67" s="33"/>
      <c r="M67" s="33"/>
      <c r="N67" s="33"/>
      <c r="O67" s="33"/>
    </row>
    <row r="68" spans="1:15" ht="12.75">
      <c r="A68" s="199"/>
      <c r="B68" s="54"/>
      <c r="C68" s="54"/>
      <c r="D68" s="54"/>
      <c r="E68" s="55"/>
      <c r="F68" s="213"/>
      <c r="G68" s="92"/>
      <c r="H68" s="92"/>
      <c r="I68" s="197"/>
      <c r="J68" s="92"/>
      <c r="K68" s="33"/>
      <c r="L68" s="33"/>
      <c r="M68" s="33"/>
      <c r="N68" s="33"/>
      <c r="O68" s="33"/>
    </row>
    <row r="69" spans="1:15" ht="12.75">
      <c r="A69" s="200" t="s">
        <v>317</v>
      </c>
      <c r="B69" s="42"/>
      <c r="C69" s="42"/>
      <c r="D69" s="42"/>
      <c r="E69" s="42"/>
      <c r="F69" s="214"/>
      <c r="G69" s="201"/>
      <c r="H69" s="42"/>
      <c r="I69" s="220"/>
      <c r="J69" s="92"/>
      <c r="K69" s="33"/>
      <c r="L69" s="33"/>
      <c r="M69" s="33"/>
      <c r="N69" s="33"/>
      <c r="O69" s="33"/>
    </row>
    <row r="70" spans="1:15" ht="12.75">
      <c r="A70" s="202" t="s">
        <v>273</v>
      </c>
      <c r="B70" s="47"/>
      <c r="C70" s="47"/>
      <c r="D70" s="47"/>
      <c r="E70" s="47"/>
      <c r="F70" s="215"/>
      <c r="G70" s="201"/>
      <c r="H70" s="42"/>
      <c r="I70" s="220"/>
      <c r="J70" s="92"/>
      <c r="K70" s="33"/>
      <c r="L70" s="33"/>
      <c r="M70" s="33"/>
      <c r="N70" s="33"/>
      <c r="O70" s="33"/>
    </row>
    <row r="71" spans="1:15" ht="12.75">
      <c r="A71" s="202" t="s">
        <v>4</v>
      </c>
      <c r="B71" s="47"/>
      <c r="C71" s="47"/>
      <c r="D71" s="47"/>
      <c r="E71" s="47"/>
      <c r="F71" s="215"/>
      <c r="G71" s="201"/>
      <c r="H71" s="42"/>
      <c r="I71" s="220"/>
      <c r="J71" s="92"/>
      <c r="K71" s="33"/>
      <c r="L71" s="33"/>
      <c r="M71" s="33"/>
      <c r="N71" s="33"/>
      <c r="O71" s="33"/>
    </row>
    <row r="72" spans="1:10" ht="25.5" customHeight="1">
      <c r="A72" s="844" t="s">
        <v>115</v>
      </c>
      <c r="B72" s="845"/>
      <c r="C72" s="845"/>
      <c r="D72" s="845"/>
      <c r="E72" s="845"/>
      <c r="F72" s="216"/>
      <c r="G72" s="203"/>
      <c r="H72" s="19"/>
      <c r="I72" s="221"/>
      <c r="J72" s="20"/>
    </row>
    <row r="73" spans="1:12" ht="13.5" thickBot="1">
      <c r="A73" s="204"/>
      <c r="B73" s="205"/>
      <c r="C73" s="205"/>
      <c r="D73" s="205"/>
      <c r="E73" s="209"/>
      <c r="F73" s="217"/>
      <c r="G73" s="206"/>
      <c r="H73" s="207"/>
      <c r="I73" s="222"/>
      <c r="J73" s="163"/>
      <c r="K73" s="21"/>
      <c r="L73" s="21"/>
    </row>
    <row r="74" spans="1:12" ht="12.75">
      <c r="A74" s="24"/>
      <c r="B74" s="24"/>
      <c r="C74" s="24"/>
      <c r="D74" s="24"/>
      <c r="E74" s="24"/>
      <c r="F74" s="27"/>
      <c r="G74" s="25"/>
      <c r="H74" s="26"/>
      <c r="I74" s="26"/>
      <c r="J74" s="21"/>
      <c r="K74" s="21"/>
      <c r="L74" s="21"/>
    </row>
    <row r="75" spans="1:12" ht="13.5" thickBot="1">
      <c r="A75" s="24"/>
      <c r="B75" s="24"/>
      <c r="C75" s="24"/>
      <c r="D75" s="24"/>
      <c r="E75" s="24"/>
      <c r="F75" s="714" t="s">
        <v>364</v>
      </c>
      <c r="G75" s="25"/>
      <c r="H75" s="26"/>
      <c r="I75" s="26"/>
      <c r="J75" s="21"/>
      <c r="K75" s="21"/>
      <c r="L75" s="21"/>
    </row>
    <row r="76" spans="1:12" ht="15">
      <c r="A76" s="310" t="s">
        <v>278</v>
      </c>
      <c r="B76" s="311"/>
      <c r="C76" s="311"/>
      <c r="D76" s="311"/>
      <c r="E76" s="311"/>
      <c r="F76" s="311"/>
      <c r="G76" s="189"/>
      <c r="H76" s="312"/>
      <c r="I76" s="313"/>
      <c r="J76" s="21"/>
      <c r="K76" s="21"/>
      <c r="L76" s="21"/>
    </row>
    <row r="77" spans="1:12" ht="12.75">
      <c r="A77" s="314"/>
      <c r="B77" s="28"/>
      <c r="C77" s="28"/>
      <c r="D77" s="28"/>
      <c r="E77" s="28"/>
      <c r="F77" s="28"/>
      <c r="G77" s="136"/>
      <c r="H77" s="29"/>
      <c r="I77" s="315"/>
      <c r="J77" s="21"/>
      <c r="K77" s="21"/>
      <c r="L77" s="21"/>
    </row>
    <row r="78" spans="1:15" ht="12.75">
      <c r="A78" s="316" t="s">
        <v>359</v>
      </c>
      <c r="B78" s="57" t="s">
        <v>20</v>
      </c>
      <c r="C78" s="57" t="s">
        <v>377</v>
      </c>
      <c r="D78" s="57" t="s">
        <v>351</v>
      </c>
      <c r="E78" s="57" t="s">
        <v>354</v>
      </c>
      <c r="F78" s="58" t="s">
        <v>355</v>
      </c>
      <c r="G78" s="137" t="s">
        <v>354</v>
      </c>
      <c r="H78" s="58" t="s">
        <v>355</v>
      </c>
      <c r="I78" s="317" t="s">
        <v>355</v>
      </c>
      <c r="J78" s="51"/>
      <c r="K78" s="51"/>
      <c r="L78" s="22"/>
      <c r="M78" s="2"/>
      <c r="N78" s="2"/>
      <c r="O78" s="2"/>
    </row>
    <row r="79" spans="1:15" ht="12.75">
      <c r="A79" s="316" t="s">
        <v>361</v>
      </c>
      <c r="B79" s="57" t="s">
        <v>276</v>
      </c>
      <c r="C79" s="57" t="s">
        <v>354</v>
      </c>
      <c r="D79" s="57" t="s">
        <v>352</v>
      </c>
      <c r="E79" s="57" t="s">
        <v>25</v>
      </c>
      <c r="F79" s="58" t="s">
        <v>279</v>
      </c>
      <c r="G79" s="137" t="s">
        <v>353</v>
      </c>
      <c r="H79" s="58" t="s">
        <v>279</v>
      </c>
      <c r="I79" s="317" t="s">
        <v>8</v>
      </c>
      <c r="J79" s="51"/>
      <c r="K79" s="51"/>
      <c r="L79" s="22"/>
      <c r="M79" s="2"/>
      <c r="N79" s="2"/>
      <c r="O79" s="2"/>
    </row>
    <row r="80" spans="1:15" ht="12.75">
      <c r="A80" s="318"/>
      <c r="B80" s="57" t="s">
        <v>275</v>
      </c>
      <c r="C80" s="57" t="s">
        <v>26</v>
      </c>
      <c r="D80" s="57"/>
      <c r="E80" s="57" t="s">
        <v>382</v>
      </c>
      <c r="F80" s="58" t="s">
        <v>382</v>
      </c>
      <c r="G80" s="137" t="s">
        <v>352</v>
      </c>
      <c r="H80" s="58" t="s">
        <v>382</v>
      </c>
      <c r="I80" s="317" t="s">
        <v>9</v>
      </c>
      <c r="J80" s="51"/>
      <c r="K80" s="51"/>
      <c r="L80" s="22"/>
      <c r="M80" s="2"/>
      <c r="N80" s="2"/>
      <c r="O80" s="2"/>
    </row>
    <row r="81" spans="1:12" ht="12.75">
      <c r="A81" s="318"/>
      <c r="B81" s="57"/>
      <c r="C81" s="57" t="s">
        <v>360</v>
      </c>
      <c r="D81" s="57" t="s">
        <v>356</v>
      </c>
      <c r="E81" s="57" t="s">
        <v>381</v>
      </c>
      <c r="F81" s="58" t="s">
        <v>414</v>
      </c>
      <c r="G81" s="137" t="s">
        <v>2</v>
      </c>
      <c r="H81" s="58" t="s">
        <v>7</v>
      </c>
      <c r="I81" s="317" t="s">
        <v>7</v>
      </c>
      <c r="J81" s="59"/>
      <c r="K81" s="59"/>
      <c r="L81" s="21"/>
    </row>
    <row r="82" spans="1:12" ht="12.75">
      <c r="A82" s="321" t="s">
        <v>373</v>
      </c>
      <c r="B82" s="60">
        <f>B143</f>
        <v>9</v>
      </c>
      <c r="C82" s="61">
        <f>B82*Summary!D80</f>
        <v>645971.8815</v>
      </c>
      <c r="D82" s="61">
        <f>B141</f>
        <v>30</v>
      </c>
      <c r="E82" s="61">
        <f>C82*D82</f>
        <v>19379156.445</v>
      </c>
      <c r="F82" s="61">
        <f>E82*Summary!D72*Summary!D76</f>
        <v>26549444.329650003</v>
      </c>
      <c r="G82" s="138">
        <f>E82*Summary!D73</f>
        <v>1771254.8990729998</v>
      </c>
      <c r="H82" s="61">
        <f>SUM(F82/Summary!D74)</f>
        <v>12042.639697385493</v>
      </c>
      <c r="I82" s="322">
        <f>SUM(H82/D82)</f>
        <v>401.42132324618314</v>
      </c>
      <c r="J82" s="59"/>
      <c r="K82" s="59"/>
      <c r="L82" s="21"/>
    </row>
    <row r="83" spans="1:12" ht="12.75">
      <c r="A83" s="321" t="s">
        <v>374</v>
      </c>
      <c r="B83" s="60">
        <f>B144</f>
        <v>1</v>
      </c>
      <c r="C83" s="61">
        <f>B83*Summary!D84</f>
        <v>18021.96</v>
      </c>
      <c r="D83" s="61">
        <f>B141</f>
        <v>30</v>
      </c>
      <c r="E83" s="61">
        <f>C83*D83</f>
        <v>540658.7999999999</v>
      </c>
      <c r="F83" s="61">
        <f>E83*Summary!D72*Summary!D76</f>
        <v>740702.556</v>
      </c>
      <c r="G83" s="138">
        <f>E83*Summary!D73</f>
        <v>49416.21431999999</v>
      </c>
      <c r="H83" s="61">
        <f>SUM(F83/Summary!D74)</f>
        <v>335.97742740245485</v>
      </c>
      <c r="I83" s="322">
        <f>SUM(H83/D83)</f>
        <v>11.199247580081828</v>
      </c>
      <c r="J83" s="59"/>
      <c r="K83" s="59"/>
      <c r="L83" s="21"/>
    </row>
    <row r="84" spans="1:12" ht="12.75">
      <c r="A84" s="321" t="s">
        <v>297</v>
      </c>
      <c r="B84" s="60">
        <f>B146</f>
        <v>1</v>
      </c>
      <c r="C84" s="61">
        <f>SUM(Summary!D77+Summary!D78)*B84</f>
        <v>46652.700600000004</v>
      </c>
      <c r="D84" s="61">
        <f>B141</f>
        <v>30</v>
      </c>
      <c r="E84" s="61">
        <f>C84*D84</f>
        <v>1399581.0180000002</v>
      </c>
      <c r="F84" s="61">
        <f>E84*Summary!D72*Summary!D76</f>
        <v>1917425.9946600003</v>
      </c>
      <c r="G84" s="138">
        <f>E84*Summary!D73</f>
        <v>127921.70504520001</v>
      </c>
      <c r="H84" s="61">
        <f>SUM(F84/Summary!D74)</f>
        <v>869.7308355453549</v>
      </c>
      <c r="I84" s="322">
        <f>SUM(H84/D84)</f>
        <v>28.99102785151183</v>
      </c>
      <c r="J84" s="59"/>
      <c r="K84" s="59"/>
      <c r="L84" s="21"/>
    </row>
    <row r="85" spans="1:12" ht="12.75">
      <c r="A85" s="321" t="s">
        <v>298</v>
      </c>
      <c r="B85" s="60">
        <f>B145</f>
        <v>1</v>
      </c>
      <c r="C85" s="61">
        <f>B147*B85</f>
        <v>144395.46</v>
      </c>
      <c r="D85" s="61">
        <f>B141</f>
        <v>30</v>
      </c>
      <c r="E85" s="61">
        <f>C85*D85</f>
        <v>4331863.8</v>
      </c>
      <c r="F85" s="61">
        <f>E85*Summary!D72*Summary!D76</f>
        <v>5934653.406</v>
      </c>
      <c r="G85" s="138">
        <f>E85*Summary!D73</f>
        <v>395932.35131999996</v>
      </c>
      <c r="H85" s="61">
        <f>SUM(F85/Summary!D74)</f>
        <v>2691.916704919669</v>
      </c>
      <c r="I85" s="322">
        <f>SUM(H85/D85)</f>
        <v>89.73055683065563</v>
      </c>
      <c r="J85" s="59"/>
      <c r="K85" s="59"/>
      <c r="L85" s="21"/>
    </row>
    <row r="86" spans="1:12" ht="12.75">
      <c r="A86" s="321" t="s">
        <v>14</v>
      </c>
      <c r="B86" s="60">
        <v>1</v>
      </c>
      <c r="C86" s="61">
        <f>SUM(B86*B155)</f>
        <v>50000</v>
      </c>
      <c r="D86" s="61">
        <f>B141</f>
        <v>30</v>
      </c>
      <c r="E86" s="61">
        <f>C86*D86</f>
        <v>1500000</v>
      </c>
      <c r="F86" s="61">
        <f>E86*Summary!D72*Summary!D76</f>
        <v>2055000.0000000002</v>
      </c>
      <c r="G86" s="138">
        <f>E86*Summary!D73</f>
        <v>137100</v>
      </c>
      <c r="H86" s="61">
        <f>SUM(F86/Summary!D74)</f>
        <v>932.1334288902398</v>
      </c>
      <c r="I86" s="322">
        <f>SUM(H86/D86)</f>
        <v>31.071114296341324</v>
      </c>
      <c r="J86" s="59"/>
      <c r="K86" s="59"/>
      <c r="L86" s="21"/>
    </row>
    <row r="87" spans="1:12" ht="12.75">
      <c r="A87" s="321"/>
      <c r="B87" s="60"/>
      <c r="C87" s="61"/>
      <c r="D87" s="61"/>
      <c r="E87" s="61"/>
      <c r="F87" s="61"/>
      <c r="G87" s="138"/>
      <c r="H87" s="61"/>
      <c r="I87" s="322"/>
      <c r="J87" s="59"/>
      <c r="K87" s="59"/>
      <c r="L87" s="21"/>
    </row>
    <row r="88" spans="1:12" ht="12.75">
      <c r="A88" s="323" t="s">
        <v>378</v>
      </c>
      <c r="B88" s="60"/>
      <c r="C88" s="61">
        <f>SUM(C82:C87)</f>
        <v>905042.0020999999</v>
      </c>
      <c r="D88" s="61"/>
      <c r="E88" s="61">
        <f>SUM(E82:E87)</f>
        <v>27151260.063</v>
      </c>
      <c r="F88" s="61">
        <f>SUM(F82:F87)</f>
        <v>37197226.28631001</v>
      </c>
      <c r="G88" s="138">
        <f>SUM(G82:G87)</f>
        <v>2481625.1697581997</v>
      </c>
      <c r="H88" s="61">
        <f>SUM(H82:H87)</f>
        <v>16872.398094143213</v>
      </c>
      <c r="I88" s="322">
        <f>SUM(I82:I86)</f>
        <v>562.4132698047737</v>
      </c>
      <c r="J88" s="59"/>
      <c r="K88" s="59"/>
      <c r="L88" s="21"/>
    </row>
    <row r="89" spans="1:12" ht="12.75">
      <c r="A89" s="323"/>
      <c r="B89" s="60"/>
      <c r="C89" s="61"/>
      <c r="D89" s="61"/>
      <c r="E89" s="61"/>
      <c r="F89" s="61"/>
      <c r="G89" s="139"/>
      <c r="H89" s="97"/>
      <c r="I89" s="534"/>
      <c r="J89" s="59"/>
      <c r="K89" s="59"/>
      <c r="L89" s="21"/>
    </row>
    <row r="90" spans="1:12" ht="12.75">
      <c r="A90" s="829" t="s">
        <v>65</v>
      </c>
      <c r="B90" s="830"/>
      <c r="C90" s="830"/>
      <c r="D90" s="830"/>
      <c r="E90" s="61"/>
      <c r="F90" s="61"/>
      <c r="G90" s="139"/>
      <c r="H90" s="97"/>
      <c r="I90" s="534"/>
      <c r="J90" s="59"/>
      <c r="K90" s="59"/>
      <c r="L90" s="21"/>
    </row>
    <row r="91" spans="1:12" ht="12.75">
      <c r="A91" s="535" t="s">
        <v>1</v>
      </c>
      <c r="B91" s="140"/>
      <c r="C91" s="140"/>
      <c r="D91" s="140"/>
      <c r="E91" s="61"/>
      <c r="F91" s="61"/>
      <c r="G91" s="139"/>
      <c r="H91" s="97"/>
      <c r="I91" s="534"/>
      <c r="J91" s="59"/>
      <c r="K91" s="59"/>
      <c r="L91" s="21"/>
    </row>
    <row r="92" spans="1:12" ht="12.75">
      <c r="A92" s="321"/>
      <c r="B92" s="60"/>
      <c r="C92" s="61"/>
      <c r="D92" s="61"/>
      <c r="E92" s="61"/>
      <c r="F92" s="61"/>
      <c r="G92" s="139"/>
      <c r="H92" s="97"/>
      <c r="I92" s="534"/>
      <c r="J92" s="59"/>
      <c r="K92" s="59"/>
      <c r="L92" s="21"/>
    </row>
    <row r="93" spans="1:12" ht="12.75">
      <c r="A93" s="536" t="s">
        <v>317</v>
      </c>
      <c r="B93" s="62"/>
      <c r="C93" s="62"/>
      <c r="D93" s="63"/>
      <c r="E93" s="62"/>
      <c r="F93" s="64"/>
      <c r="G93" s="139"/>
      <c r="H93" s="97"/>
      <c r="I93" s="534"/>
      <c r="J93" s="59"/>
      <c r="K93" s="59"/>
      <c r="L93" s="21"/>
    </row>
    <row r="94" spans="1:12" ht="25.5" customHeight="1">
      <c r="A94" s="851" t="s">
        <v>5</v>
      </c>
      <c r="B94" s="852"/>
      <c r="C94" s="852"/>
      <c r="D94" s="852"/>
      <c r="E94" s="852"/>
      <c r="F94" s="852"/>
      <c r="G94" s="853"/>
      <c r="H94" s="97"/>
      <c r="I94" s="534"/>
      <c r="J94" s="59"/>
      <c r="K94" s="59"/>
      <c r="L94" s="21"/>
    </row>
    <row r="95" spans="1:12" ht="12.75">
      <c r="A95" s="321" t="s">
        <v>294</v>
      </c>
      <c r="B95" s="62"/>
      <c r="C95" s="62"/>
      <c r="D95" s="62"/>
      <c r="E95" s="62"/>
      <c r="F95" s="62"/>
      <c r="G95" s="141"/>
      <c r="H95" s="97"/>
      <c r="I95" s="534"/>
      <c r="J95" s="59"/>
      <c r="K95" s="59"/>
      <c r="L95" s="21"/>
    </row>
    <row r="96" spans="1:12" ht="12.75">
      <c r="A96" s="321" t="s">
        <v>295</v>
      </c>
      <c r="B96" s="62"/>
      <c r="C96" s="62"/>
      <c r="D96" s="62"/>
      <c r="E96" s="62"/>
      <c r="F96" s="62"/>
      <c r="G96" s="141"/>
      <c r="H96" s="97"/>
      <c r="I96" s="534"/>
      <c r="J96" s="59"/>
      <c r="K96" s="59"/>
      <c r="L96" s="21"/>
    </row>
    <row r="97" spans="1:12" ht="12.75">
      <c r="A97" s="321" t="s">
        <v>299</v>
      </c>
      <c r="B97" s="62"/>
      <c r="C97" s="62"/>
      <c r="D97" s="62"/>
      <c r="E97" s="62"/>
      <c r="F97" s="62"/>
      <c r="G97" s="141"/>
      <c r="H97" s="97"/>
      <c r="I97" s="534"/>
      <c r="J97" s="59"/>
      <c r="K97" s="59"/>
      <c r="L97" s="21"/>
    </row>
    <row r="98" spans="1:12" ht="25.5" customHeight="1" thickBot="1">
      <c r="A98" s="854" t="s">
        <v>6</v>
      </c>
      <c r="B98" s="855"/>
      <c r="C98" s="855"/>
      <c r="D98" s="855"/>
      <c r="E98" s="855"/>
      <c r="F98" s="855"/>
      <c r="G98" s="856"/>
      <c r="H98" s="329"/>
      <c r="I98" s="330"/>
      <c r="J98" s="59"/>
      <c r="K98" s="59"/>
      <c r="L98" s="21"/>
    </row>
    <row r="99" spans="1:12" ht="13.5" customHeight="1">
      <c r="A99" s="134"/>
      <c r="B99" s="135"/>
      <c r="C99" s="135"/>
      <c r="D99" s="135"/>
      <c r="E99" s="135"/>
      <c r="F99" s="135"/>
      <c r="G99" s="135"/>
      <c r="H99" s="59"/>
      <c r="I99" s="59"/>
      <c r="J99" s="59"/>
      <c r="K99" s="59"/>
      <c r="L99" s="21"/>
    </row>
    <row r="100" spans="1:12" ht="13.5" customHeight="1">
      <c r="A100" s="134"/>
      <c r="B100" s="135"/>
      <c r="C100" s="135"/>
      <c r="D100" s="135"/>
      <c r="E100" s="135"/>
      <c r="F100" s="714" t="s">
        <v>364</v>
      </c>
      <c r="G100" s="135"/>
      <c r="H100" s="59"/>
      <c r="I100" s="59"/>
      <c r="J100" s="59"/>
      <c r="K100" s="59"/>
      <c r="L100" s="21"/>
    </row>
    <row r="101" spans="1:12" ht="12.75" customHeight="1" thickBot="1">
      <c r="A101" s="134"/>
      <c r="B101" s="135"/>
      <c r="C101" s="135"/>
      <c r="D101" s="135"/>
      <c r="E101" s="135"/>
      <c r="F101" s="135"/>
      <c r="G101" s="135"/>
      <c r="H101" s="59"/>
      <c r="I101" s="59"/>
      <c r="J101" s="59"/>
      <c r="K101" s="59"/>
      <c r="L101" s="21"/>
    </row>
    <row r="102" spans="1:12" ht="25.5" customHeight="1">
      <c r="A102" s="310" t="s">
        <v>32</v>
      </c>
      <c r="B102" s="311"/>
      <c r="C102" s="311"/>
      <c r="D102" s="311"/>
      <c r="E102" s="311"/>
      <c r="F102" s="311"/>
      <c r="G102" s="189"/>
      <c r="H102" s="312"/>
      <c r="I102" s="313"/>
      <c r="J102" s="21"/>
      <c r="K102" s="59"/>
      <c r="L102" s="21"/>
    </row>
    <row r="103" spans="1:12" ht="25.5" customHeight="1">
      <c r="A103" s="314"/>
      <c r="B103" s="28"/>
      <c r="C103" s="28"/>
      <c r="D103" s="28"/>
      <c r="E103" s="28"/>
      <c r="F103" s="28"/>
      <c r="G103" s="136"/>
      <c r="H103" s="29"/>
      <c r="I103" s="315"/>
      <c r="J103" s="21"/>
      <c r="K103" s="59"/>
      <c r="L103" s="21"/>
    </row>
    <row r="104" spans="1:12" ht="13.5" customHeight="1">
      <c r="A104" s="316" t="s">
        <v>359</v>
      </c>
      <c r="B104" s="57" t="s">
        <v>20</v>
      </c>
      <c r="C104" s="57" t="s">
        <v>377</v>
      </c>
      <c r="D104" s="57" t="s">
        <v>351</v>
      </c>
      <c r="E104" s="57" t="s">
        <v>29</v>
      </c>
      <c r="F104" s="58" t="s">
        <v>355</v>
      </c>
      <c r="G104" s="137" t="s">
        <v>27</v>
      </c>
      <c r="H104" s="58" t="s">
        <v>355</v>
      </c>
      <c r="I104" s="317" t="s">
        <v>355</v>
      </c>
      <c r="J104" s="51"/>
      <c r="K104" s="59"/>
      <c r="L104" s="21"/>
    </row>
    <row r="105" spans="1:12" ht="10.5" customHeight="1">
      <c r="A105" s="316" t="s">
        <v>44</v>
      </c>
      <c r="B105" s="57" t="s">
        <v>16</v>
      </c>
      <c r="C105" s="57" t="s">
        <v>17</v>
      </c>
      <c r="D105" s="57" t="s">
        <v>352</v>
      </c>
      <c r="E105" s="57" t="s">
        <v>28</v>
      </c>
      <c r="F105" s="58" t="s">
        <v>30</v>
      </c>
      <c r="G105" s="137" t="s">
        <v>28</v>
      </c>
      <c r="H105" s="58" t="s">
        <v>30</v>
      </c>
      <c r="I105" s="317" t="s">
        <v>8</v>
      </c>
      <c r="J105" s="51"/>
      <c r="K105" s="59"/>
      <c r="L105" s="21"/>
    </row>
    <row r="106" spans="1:12" ht="12" customHeight="1">
      <c r="A106" s="318"/>
      <c r="B106" s="57"/>
      <c r="C106" s="57" t="s">
        <v>358</v>
      </c>
      <c r="D106" s="57"/>
      <c r="E106" s="57" t="s">
        <v>352</v>
      </c>
      <c r="F106" s="58" t="s">
        <v>382</v>
      </c>
      <c r="G106" s="137" t="s">
        <v>352</v>
      </c>
      <c r="H106" s="58" t="s">
        <v>382</v>
      </c>
      <c r="I106" s="317" t="s">
        <v>9</v>
      </c>
      <c r="J106" s="51"/>
      <c r="K106" s="59"/>
      <c r="L106" s="21"/>
    </row>
    <row r="107" spans="1:12" ht="11.25" customHeight="1">
      <c r="A107" s="318"/>
      <c r="B107" s="57"/>
      <c r="C107" s="57" t="s">
        <v>18</v>
      </c>
      <c r="D107" s="57" t="s">
        <v>356</v>
      </c>
      <c r="E107" s="57" t="s">
        <v>19</v>
      </c>
      <c r="F107" s="58" t="s">
        <v>414</v>
      </c>
      <c r="G107" s="137" t="s">
        <v>2</v>
      </c>
      <c r="H107" s="58" t="s">
        <v>7</v>
      </c>
      <c r="I107" s="317" t="s">
        <v>7</v>
      </c>
      <c r="J107" s="59"/>
      <c r="K107" s="59"/>
      <c r="L107" s="21"/>
    </row>
    <row r="108" spans="1:12" ht="17.25" customHeight="1">
      <c r="A108" s="321" t="s">
        <v>15</v>
      </c>
      <c r="B108" s="60">
        <v>1</v>
      </c>
      <c r="C108" s="61">
        <f>SUM(B150)</f>
        <v>4000</v>
      </c>
      <c r="D108" s="61">
        <f>SUM(B141)</f>
        <v>30</v>
      </c>
      <c r="E108" s="61">
        <f>C108*D108</f>
        <v>120000</v>
      </c>
      <c r="F108" s="61">
        <f>E108*Summary!D85</f>
        <v>2347680</v>
      </c>
      <c r="G108" s="138">
        <f>E108*Summary!D87</f>
        <v>362400</v>
      </c>
      <c r="H108" s="61">
        <f>F108/Summary!D74</f>
        <v>1064.8910016238626</v>
      </c>
      <c r="I108" s="320">
        <f>SUM(H108/D108)</f>
        <v>35.49636672079542</v>
      </c>
      <c r="J108" s="59"/>
      <c r="K108" s="59"/>
      <c r="L108" s="21"/>
    </row>
    <row r="109" spans="1:12" ht="12.75" customHeight="1">
      <c r="A109" s="321"/>
      <c r="B109" s="60"/>
      <c r="C109" s="61"/>
      <c r="D109" s="61"/>
      <c r="E109" s="61"/>
      <c r="F109" s="61"/>
      <c r="G109" s="138"/>
      <c r="H109" s="61"/>
      <c r="I109" s="322"/>
      <c r="J109" s="59"/>
      <c r="K109" s="59"/>
      <c r="L109" s="21"/>
    </row>
    <row r="110" spans="1:12" ht="16.5" customHeight="1">
      <c r="A110" s="323" t="s">
        <v>378</v>
      </c>
      <c r="B110" s="60"/>
      <c r="C110" s="61">
        <f>SUM(C108:C109)</f>
        <v>4000</v>
      </c>
      <c r="D110" s="61"/>
      <c r="E110" s="61">
        <f>SUM(E108:E109)</f>
        <v>120000</v>
      </c>
      <c r="F110" s="61">
        <f>SUM(F108:F109)</f>
        <v>2347680</v>
      </c>
      <c r="G110" s="138">
        <f>SUM(G108:G109)</f>
        <v>362400</v>
      </c>
      <c r="H110" s="61">
        <f>SUM(H108:H109)</f>
        <v>1064.8910016238626</v>
      </c>
      <c r="I110" s="309">
        <f>SUM(I108:I109)</f>
        <v>35.49636672079542</v>
      </c>
      <c r="J110" s="59"/>
      <c r="K110" s="59"/>
      <c r="L110" s="21"/>
    </row>
    <row r="111" spans="1:12" ht="25.5" customHeight="1">
      <c r="A111" s="323"/>
      <c r="B111" s="60"/>
      <c r="C111" s="61"/>
      <c r="D111" s="61"/>
      <c r="E111" s="61"/>
      <c r="F111" s="61"/>
      <c r="G111" s="139"/>
      <c r="H111" s="97"/>
      <c r="I111" s="324"/>
      <c r="J111" s="59"/>
      <c r="K111" s="59"/>
      <c r="L111" s="21"/>
    </row>
    <row r="112" spans="1:12" ht="25.5" customHeight="1" thickBot="1">
      <c r="A112" s="325" t="s">
        <v>129</v>
      </c>
      <c r="B112" s="326"/>
      <c r="C112" s="326"/>
      <c r="D112" s="326"/>
      <c r="E112" s="327"/>
      <c r="F112" s="327"/>
      <c r="G112" s="328"/>
      <c r="H112" s="329"/>
      <c r="I112" s="330"/>
      <c r="J112" s="59"/>
      <c r="K112" s="59"/>
      <c r="L112" s="21"/>
    </row>
    <row r="113" spans="1:12" ht="12.75" customHeight="1">
      <c r="A113" s="20"/>
      <c r="B113" s="140"/>
      <c r="C113" s="140"/>
      <c r="D113" s="140"/>
      <c r="E113" s="61"/>
      <c r="F113" s="61"/>
      <c r="G113" s="143"/>
      <c r="H113" s="59"/>
      <c r="I113" s="59"/>
      <c r="J113" s="59"/>
      <c r="K113" s="59"/>
      <c r="L113" s="21"/>
    </row>
    <row r="114" spans="1:12" ht="11.25" customHeight="1">
      <c r="A114" s="20"/>
      <c r="B114" s="140"/>
      <c r="C114" s="140"/>
      <c r="D114" s="140"/>
      <c r="E114" s="61"/>
      <c r="F114" s="61"/>
      <c r="G114" s="64"/>
      <c r="H114" s="59"/>
      <c r="I114" s="59"/>
      <c r="J114" s="59"/>
      <c r="K114" s="59"/>
      <c r="L114" s="21"/>
    </row>
    <row r="115" spans="1:12" ht="11.25" customHeight="1" thickBot="1">
      <c r="A115" s="134"/>
      <c r="B115" s="135"/>
      <c r="C115" s="135"/>
      <c r="D115" s="135"/>
      <c r="E115" s="135"/>
      <c r="F115" s="135"/>
      <c r="G115" s="135"/>
      <c r="H115" s="59"/>
      <c r="I115" s="59"/>
      <c r="J115" s="59"/>
      <c r="K115" s="59"/>
      <c r="L115" s="21"/>
    </row>
    <row r="116" spans="1:12" ht="25.5" customHeight="1">
      <c r="A116" s="516" t="s">
        <v>130</v>
      </c>
      <c r="B116" s="517"/>
      <c r="C116" s="518"/>
      <c r="D116" s="518"/>
      <c r="E116" s="518"/>
      <c r="F116" s="519"/>
      <c r="G116" s="520"/>
      <c r="H116" s="297"/>
      <c r="I116" s="331"/>
      <c r="J116" s="21"/>
      <c r="K116" s="21"/>
      <c r="L116" s="21"/>
    </row>
    <row r="117" spans="1:12" ht="12.75">
      <c r="A117" s="521"/>
      <c r="B117" s="100"/>
      <c r="C117" s="101"/>
      <c r="D117" s="101"/>
      <c r="E117" s="101"/>
      <c r="F117" s="102"/>
      <c r="G117" s="142"/>
      <c r="H117" s="29"/>
      <c r="I117" s="315"/>
      <c r="J117" s="21"/>
      <c r="K117" s="21"/>
      <c r="L117" s="21"/>
    </row>
    <row r="118" spans="1:14" ht="12.75">
      <c r="A118" s="522"/>
      <c r="B118" s="831" t="s">
        <v>68</v>
      </c>
      <c r="C118" s="832"/>
      <c r="D118" s="831" t="s">
        <v>37</v>
      </c>
      <c r="E118" s="832"/>
      <c r="F118" s="827" t="s">
        <v>35</v>
      </c>
      <c r="G118" s="832"/>
      <c r="H118" s="827" t="s">
        <v>36</v>
      </c>
      <c r="I118" s="828"/>
      <c r="J118" s="21"/>
      <c r="K118" s="21"/>
      <c r="L118" s="21"/>
      <c r="M118" s="21"/>
      <c r="N118" s="21"/>
    </row>
    <row r="119" spans="1:14" ht="12.75">
      <c r="A119" s="522"/>
      <c r="B119" s="98" t="s">
        <v>377</v>
      </c>
      <c r="C119" s="98" t="s">
        <v>379</v>
      </c>
      <c r="D119" s="98" t="s">
        <v>377</v>
      </c>
      <c r="E119" s="98" t="s">
        <v>379</v>
      </c>
      <c r="F119" s="99" t="s">
        <v>377</v>
      </c>
      <c r="G119" s="98" t="s">
        <v>379</v>
      </c>
      <c r="H119" s="99" t="s">
        <v>377</v>
      </c>
      <c r="I119" s="401" t="s">
        <v>379</v>
      </c>
      <c r="J119" s="21"/>
      <c r="K119" s="21"/>
      <c r="L119" s="21"/>
      <c r="M119" s="21"/>
      <c r="N119" s="21"/>
    </row>
    <row r="120" spans="1:14" ht="12.75">
      <c r="A120" s="522"/>
      <c r="B120" s="98" t="s">
        <v>351</v>
      </c>
      <c r="C120" s="98" t="s">
        <v>380</v>
      </c>
      <c r="D120" s="98" t="s">
        <v>351</v>
      </c>
      <c r="E120" s="98" t="s">
        <v>380</v>
      </c>
      <c r="F120" s="99" t="s">
        <v>351</v>
      </c>
      <c r="G120" s="98" t="s">
        <v>380</v>
      </c>
      <c r="H120" s="99" t="s">
        <v>351</v>
      </c>
      <c r="I120" s="401" t="s">
        <v>380</v>
      </c>
      <c r="J120" s="21"/>
      <c r="K120" s="21"/>
      <c r="L120" s="21"/>
      <c r="M120" s="21"/>
      <c r="N120" s="21"/>
    </row>
    <row r="121" spans="1:14" ht="13.5" thickBot="1">
      <c r="A121" s="415"/>
      <c r="B121" s="226" t="s">
        <v>360</v>
      </c>
      <c r="C121" s="226" t="s">
        <v>381</v>
      </c>
      <c r="D121" s="226" t="s">
        <v>19</v>
      </c>
      <c r="E121" s="226" t="s">
        <v>19</v>
      </c>
      <c r="F121" s="227" t="s">
        <v>31</v>
      </c>
      <c r="G121" s="227" t="s">
        <v>31</v>
      </c>
      <c r="H121" s="228" t="s">
        <v>383</v>
      </c>
      <c r="I121" s="402" t="s">
        <v>383</v>
      </c>
      <c r="J121" s="21"/>
      <c r="K121" s="21"/>
      <c r="L121" s="21"/>
      <c r="M121" s="21"/>
      <c r="N121" s="21"/>
    </row>
    <row r="122" spans="1:14" ht="12.75">
      <c r="A122" s="522" t="s">
        <v>378</v>
      </c>
      <c r="B122" s="125">
        <f>C88</f>
        <v>905042.0020999999</v>
      </c>
      <c r="C122" s="125">
        <f>SUM(B122*23)</f>
        <v>20815966.048299998</v>
      </c>
      <c r="D122" s="732">
        <f>SUM(C108)</f>
        <v>4000</v>
      </c>
      <c r="E122" s="420">
        <f>SUM(D122*23)</f>
        <v>92000</v>
      </c>
      <c r="F122" s="125">
        <f>SUM(I110+I88)</f>
        <v>597.9096365255691</v>
      </c>
      <c r="G122" s="125">
        <f>SUM(F122*23)</f>
        <v>13751.92164008809</v>
      </c>
      <c r="H122" s="126">
        <f>SUM(B122*Summary!D73+D122*Summary!D87)</f>
        <v>94800.83899193999</v>
      </c>
      <c r="I122" s="531">
        <f>SUM(H122*23)</f>
        <v>2180419.29681462</v>
      </c>
      <c r="J122" s="125"/>
      <c r="K122" s="21"/>
      <c r="L122" s="21"/>
      <c r="M122" s="21"/>
      <c r="N122" s="21"/>
    </row>
    <row r="123" spans="1:12" ht="12.75">
      <c r="A123" s="532"/>
      <c r="B123" s="528"/>
      <c r="C123" s="528"/>
      <c r="D123" s="529"/>
      <c r="E123" s="528"/>
      <c r="F123" s="528"/>
      <c r="G123" s="530"/>
      <c r="H123" s="29"/>
      <c r="I123" s="315"/>
      <c r="J123" s="21"/>
      <c r="K123" s="21"/>
      <c r="L123" s="21"/>
    </row>
    <row r="124" spans="1:9" ht="12.75">
      <c r="A124" s="533" t="s">
        <v>38</v>
      </c>
      <c r="B124" s="20"/>
      <c r="C124" s="20"/>
      <c r="D124" s="20"/>
      <c r="E124" s="20"/>
      <c r="F124" s="20"/>
      <c r="G124" s="20"/>
      <c r="H124" s="20"/>
      <c r="I124" s="157"/>
    </row>
    <row r="125" spans="1:9" ht="13.5" thickBot="1">
      <c r="A125" s="304"/>
      <c r="B125" s="187"/>
      <c r="C125" s="187"/>
      <c r="D125" s="187"/>
      <c r="E125" s="187"/>
      <c r="F125" s="187"/>
      <c r="G125" s="187"/>
      <c r="H125" s="187"/>
      <c r="I125" s="188"/>
    </row>
    <row r="126" spans="1:9" ht="12.75">
      <c r="A126" s="20"/>
      <c r="B126" s="20"/>
      <c r="C126" s="20"/>
      <c r="D126" s="20"/>
      <c r="E126" s="20"/>
      <c r="F126" s="145"/>
      <c r="G126" s="20"/>
      <c r="H126" s="20"/>
      <c r="I126" s="20"/>
    </row>
    <row r="127" spans="1:7" ht="13.5" thickBot="1">
      <c r="A127" s="20"/>
      <c r="B127" s="20"/>
      <c r="C127" s="20"/>
      <c r="D127" s="20"/>
      <c r="E127" s="20"/>
      <c r="F127" s="20"/>
      <c r="G127" s="20"/>
    </row>
    <row r="128" spans="1:9" ht="12.75">
      <c r="A128" s="516" t="s">
        <v>33</v>
      </c>
      <c r="B128" s="517"/>
      <c r="C128" s="518"/>
      <c r="D128" s="518"/>
      <c r="E128" s="518"/>
      <c r="F128" s="519"/>
      <c r="G128" s="520"/>
      <c r="H128" s="297"/>
      <c r="I128" s="331"/>
    </row>
    <row r="129" spans="1:9" ht="12.75">
      <c r="A129" s="521"/>
      <c r="B129" s="100"/>
      <c r="C129" s="101"/>
      <c r="D129" s="101"/>
      <c r="E129" s="101"/>
      <c r="F129" s="102"/>
      <c r="G129" s="142"/>
      <c r="H129" s="29"/>
      <c r="I129" s="315"/>
    </row>
    <row r="130" spans="1:18" ht="12.75">
      <c r="A130" s="522"/>
      <c r="B130" s="831" t="s">
        <v>67</v>
      </c>
      <c r="C130" s="832"/>
      <c r="D130" s="831" t="s">
        <v>40</v>
      </c>
      <c r="E130" s="832"/>
      <c r="F130" s="827" t="s">
        <v>41</v>
      </c>
      <c r="G130" s="832"/>
      <c r="H130" s="827" t="s">
        <v>42</v>
      </c>
      <c r="I130" s="828"/>
      <c r="J130" s="20"/>
      <c r="K130" s="20"/>
      <c r="L130" s="20"/>
      <c r="M130" s="20"/>
      <c r="N130" s="20"/>
      <c r="O130" s="20"/>
      <c r="P130" s="20"/>
      <c r="Q130" s="20"/>
      <c r="R130" s="20"/>
    </row>
    <row r="131" spans="1:18" ht="12.75">
      <c r="A131" s="522"/>
      <c r="B131" s="98" t="s">
        <v>377</v>
      </c>
      <c r="C131" s="98" t="s">
        <v>379</v>
      </c>
      <c r="D131" s="98" t="s">
        <v>377</v>
      </c>
      <c r="E131" s="98" t="s">
        <v>379</v>
      </c>
      <c r="F131" s="99" t="s">
        <v>377</v>
      </c>
      <c r="G131" s="98" t="s">
        <v>379</v>
      </c>
      <c r="H131" s="99" t="s">
        <v>377</v>
      </c>
      <c r="I131" s="401" t="s">
        <v>379</v>
      </c>
      <c r="J131" s="98"/>
      <c r="K131" s="20"/>
      <c r="L131" s="20"/>
      <c r="M131" s="20"/>
      <c r="N131" s="20"/>
      <c r="O131" s="20"/>
      <c r="P131" s="20"/>
      <c r="Q131" s="20"/>
      <c r="R131" s="20"/>
    </row>
    <row r="132" spans="1:18" ht="12.75">
      <c r="A132" s="522"/>
      <c r="B132" s="98" t="s">
        <v>351</v>
      </c>
      <c r="C132" s="98" t="s">
        <v>380</v>
      </c>
      <c r="D132" s="98" t="s">
        <v>351</v>
      </c>
      <c r="E132" s="98" t="s">
        <v>380</v>
      </c>
      <c r="F132" s="99" t="s">
        <v>351</v>
      </c>
      <c r="G132" s="98" t="s">
        <v>380</v>
      </c>
      <c r="H132" s="99" t="s">
        <v>351</v>
      </c>
      <c r="I132" s="401" t="s">
        <v>380</v>
      </c>
      <c r="J132" s="733"/>
      <c r="K132" s="20"/>
      <c r="L132" s="20"/>
      <c r="M132" s="20"/>
      <c r="N132" s="20"/>
      <c r="O132" s="20"/>
      <c r="P132" s="20"/>
      <c r="Q132" s="20"/>
      <c r="R132" s="20"/>
    </row>
    <row r="133" spans="1:18" ht="13.5" thickBot="1">
      <c r="A133" s="415"/>
      <c r="B133" s="226" t="s">
        <v>360</v>
      </c>
      <c r="C133" s="226" t="s">
        <v>381</v>
      </c>
      <c r="D133" s="226" t="s">
        <v>19</v>
      </c>
      <c r="E133" s="226" t="s">
        <v>19</v>
      </c>
      <c r="F133" s="227" t="s">
        <v>31</v>
      </c>
      <c r="G133" s="227" t="s">
        <v>31</v>
      </c>
      <c r="H133" s="228" t="s">
        <v>383</v>
      </c>
      <c r="I133" s="402" t="s">
        <v>383</v>
      </c>
      <c r="J133" s="20"/>
      <c r="K133" s="20"/>
      <c r="L133" s="20"/>
      <c r="M133" s="20"/>
      <c r="N133" s="20"/>
      <c r="O133" s="20"/>
      <c r="P133" s="20"/>
      <c r="Q133" s="20"/>
      <c r="R133" s="20"/>
    </row>
    <row r="134" spans="1:18" ht="12.75">
      <c r="A134" s="522" t="s">
        <v>378</v>
      </c>
      <c r="B134" s="125">
        <f>B122*E67*B148</f>
        <v>489607327.8455145</v>
      </c>
      <c r="C134" s="125">
        <f>SUM(B134*23)</f>
        <v>11260968540.446833</v>
      </c>
      <c r="D134" s="125">
        <f>SUM(D122*E67)</f>
        <v>2163909.8592527723</v>
      </c>
      <c r="E134" s="125">
        <f>SUM(D134*23)</f>
        <v>49769926.76281376</v>
      </c>
      <c r="F134" s="125">
        <f>SUM(F122*E67)</f>
        <v>323455.6393549801</v>
      </c>
      <c r="G134" s="144">
        <f>SUM(F134*23)</f>
        <v>7439479.705164542</v>
      </c>
      <c r="H134" s="126">
        <f>SUM(H122*E67)</f>
        <v>51285117.540023394</v>
      </c>
      <c r="I134" s="527">
        <f>SUM(H134*23)</f>
        <v>1179557703.420538</v>
      </c>
      <c r="J134" s="734"/>
      <c r="K134" s="20"/>
      <c r="L134" s="20"/>
      <c r="M134" s="20"/>
      <c r="N134" s="20"/>
      <c r="O134" s="20"/>
      <c r="P134" s="20"/>
      <c r="Q134" s="20"/>
      <c r="R134" s="20"/>
    </row>
    <row r="135" spans="1:18" ht="13.5" thickBot="1">
      <c r="A135" s="523"/>
      <c r="B135" s="524"/>
      <c r="C135" s="405"/>
      <c r="D135" s="525"/>
      <c r="E135" s="524"/>
      <c r="F135" s="524"/>
      <c r="G135" s="526"/>
      <c r="H135" s="163"/>
      <c r="I135" s="369"/>
      <c r="J135" s="20"/>
      <c r="K135" s="20"/>
      <c r="L135" s="20"/>
      <c r="M135" s="20"/>
      <c r="N135" s="20"/>
      <c r="O135" s="20"/>
      <c r="P135" s="20"/>
      <c r="Q135" s="20"/>
      <c r="R135" s="20"/>
    </row>
    <row r="136" spans="1:27" ht="12.75">
      <c r="A136" s="20"/>
      <c r="B136" s="20"/>
      <c r="C136" s="20"/>
      <c r="D136" s="20"/>
      <c r="E136" s="20"/>
      <c r="F136" s="20"/>
      <c r="G136" s="20"/>
      <c r="J136" s="805"/>
      <c r="K136" s="806"/>
      <c r="L136" s="806"/>
      <c r="M136" s="806"/>
      <c r="N136" s="806"/>
      <c r="O136" s="806"/>
      <c r="P136" s="806"/>
      <c r="Q136" s="806"/>
      <c r="R136" s="806"/>
      <c r="S136" s="20"/>
      <c r="T136" s="20"/>
      <c r="U136" s="20"/>
      <c r="V136" s="20"/>
      <c r="W136" s="20"/>
      <c r="X136" s="20"/>
      <c r="Y136" s="20"/>
      <c r="Z136" s="20"/>
      <c r="AA136" s="20"/>
    </row>
    <row r="137" spans="1:27" ht="13.5" thickBot="1">
      <c r="A137" s="20"/>
      <c r="B137" s="20"/>
      <c r="C137" s="20"/>
      <c r="D137" s="20"/>
      <c r="E137" s="20"/>
      <c r="F137" s="714" t="s">
        <v>364</v>
      </c>
      <c r="G137" s="20"/>
      <c r="J137" s="666"/>
      <c r="K137" s="667"/>
      <c r="L137" s="667"/>
      <c r="M137" s="667"/>
      <c r="N137" s="667"/>
      <c r="O137" s="667"/>
      <c r="P137" s="667"/>
      <c r="Q137" s="667"/>
      <c r="R137" s="667"/>
      <c r="S137" s="20"/>
      <c r="T137" s="20"/>
      <c r="U137" s="20"/>
      <c r="V137" s="20"/>
      <c r="W137" s="20"/>
      <c r="X137" s="20"/>
      <c r="Y137" s="20"/>
      <c r="Z137" s="20"/>
      <c r="AA137" s="20"/>
    </row>
    <row r="138" spans="1:27" ht="26.25" thickTop="1">
      <c r="A138" s="218" t="s">
        <v>61</v>
      </c>
      <c r="B138" s="147" t="s">
        <v>12</v>
      </c>
      <c r="C138" s="147" t="s">
        <v>10</v>
      </c>
      <c r="D138" s="147" t="s">
        <v>11</v>
      </c>
      <c r="E138" s="867" t="s">
        <v>303</v>
      </c>
      <c r="F138" s="868"/>
      <c r="G138" s="868"/>
      <c r="H138" s="868"/>
      <c r="I138" s="869"/>
      <c r="J138" s="813"/>
      <c r="K138" s="814"/>
      <c r="L138" s="815"/>
      <c r="M138" s="860"/>
      <c r="N138" s="814"/>
      <c r="O138" s="815"/>
      <c r="P138" s="860"/>
      <c r="Q138" s="814"/>
      <c r="R138" s="815"/>
      <c r="S138" s="20" t="s">
        <v>63</v>
      </c>
      <c r="T138" s="20"/>
      <c r="U138" s="20"/>
      <c r="V138" s="20"/>
      <c r="W138" s="20"/>
      <c r="X138" s="20"/>
      <c r="Y138" s="20"/>
      <c r="Z138" s="20"/>
      <c r="AA138" s="20"/>
    </row>
    <row r="139" spans="1:27" ht="13.5" thickBot="1">
      <c r="A139" s="424" t="s">
        <v>58</v>
      </c>
      <c r="B139" s="146" t="s">
        <v>302</v>
      </c>
      <c r="C139" s="146" t="s">
        <v>302</v>
      </c>
      <c r="D139" s="146" t="s">
        <v>302</v>
      </c>
      <c r="E139" s="870"/>
      <c r="F139" s="870"/>
      <c r="G139" s="870"/>
      <c r="H139" s="870"/>
      <c r="I139" s="871"/>
      <c r="J139" s="668"/>
      <c r="K139" s="669"/>
      <c r="L139" s="669"/>
      <c r="M139" s="669"/>
      <c r="N139" s="669"/>
      <c r="O139" s="669"/>
      <c r="P139" s="669"/>
      <c r="Q139" s="669"/>
      <c r="R139" s="669"/>
      <c r="S139" s="20"/>
      <c r="T139" s="20"/>
      <c r="U139" s="20"/>
      <c r="V139" s="20"/>
      <c r="W139" s="20"/>
      <c r="X139" s="20"/>
      <c r="Y139" s="20"/>
      <c r="Z139" s="20"/>
      <c r="AA139" s="20"/>
    </row>
    <row r="140" spans="1:27" ht="22.5" customHeight="1">
      <c r="A140" s="148" t="s">
        <v>193</v>
      </c>
      <c r="B140" s="646">
        <v>16</v>
      </c>
      <c r="C140" s="646">
        <f>SUM(B140*0.75)</f>
        <v>12</v>
      </c>
      <c r="D140" s="646">
        <f>SUM(B140*1.25)</f>
        <v>20</v>
      </c>
      <c r="E140" s="841" t="s">
        <v>46</v>
      </c>
      <c r="F140" s="842"/>
      <c r="G140" s="842"/>
      <c r="H140" s="842"/>
      <c r="I140" s="843"/>
      <c r="J140" s="670"/>
      <c r="K140" s="671"/>
      <c r="L140" s="671"/>
      <c r="M140" s="672"/>
      <c r="N140" s="672"/>
      <c r="O140" s="672"/>
      <c r="P140" s="673"/>
      <c r="Q140" s="673"/>
      <c r="R140" s="673"/>
      <c r="S140" s="20"/>
      <c r="T140" s="20"/>
      <c r="U140" s="20"/>
      <c r="V140" s="20"/>
      <c r="W140" s="20"/>
      <c r="X140" s="20"/>
      <c r="Y140" s="20"/>
      <c r="Z140" s="20"/>
      <c r="AA140" s="20"/>
    </row>
    <row r="141" spans="1:27" ht="24" customHeight="1">
      <c r="A141" s="149" t="s">
        <v>69</v>
      </c>
      <c r="B141" s="647">
        <v>30</v>
      </c>
      <c r="C141" s="647">
        <v>18</v>
      </c>
      <c r="D141" s="647">
        <v>42</v>
      </c>
      <c r="E141" s="835" t="s">
        <v>47</v>
      </c>
      <c r="F141" s="836"/>
      <c r="G141" s="836"/>
      <c r="H141" s="836"/>
      <c r="I141" s="837"/>
      <c r="J141" s="670"/>
      <c r="K141" s="673"/>
      <c r="L141" s="671"/>
      <c r="M141" s="672"/>
      <c r="N141" s="672"/>
      <c r="O141" s="672"/>
      <c r="P141" s="673"/>
      <c r="Q141" s="673"/>
      <c r="R141" s="673"/>
      <c r="S141" s="20" t="s">
        <v>64</v>
      </c>
      <c r="T141" s="20"/>
      <c r="U141" s="20"/>
      <c r="V141" s="20"/>
      <c r="W141" s="20"/>
      <c r="X141" s="20"/>
      <c r="Y141" s="20"/>
      <c r="Z141" s="20"/>
      <c r="AA141" s="20"/>
    </row>
    <row r="142" spans="1:27" ht="50.25" customHeight="1">
      <c r="A142" s="150" t="s">
        <v>188</v>
      </c>
      <c r="B142" s="647">
        <v>0.2</v>
      </c>
      <c r="C142" s="647">
        <v>0.1666</v>
      </c>
      <c r="D142" s="647">
        <v>0.25</v>
      </c>
      <c r="E142" s="838" t="s">
        <v>48</v>
      </c>
      <c r="F142" s="839"/>
      <c r="G142" s="839"/>
      <c r="H142" s="839"/>
      <c r="I142" s="840"/>
      <c r="J142" s="670"/>
      <c r="K142" s="671"/>
      <c r="L142" s="671"/>
      <c r="M142" s="672"/>
      <c r="N142" s="672"/>
      <c r="O142" s="672"/>
      <c r="P142" s="673"/>
      <c r="Q142" s="673"/>
      <c r="R142" s="672"/>
      <c r="S142" s="238"/>
      <c r="T142" s="20"/>
      <c r="U142" s="20"/>
      <c r="V142" s="20"/>
      <c r="W142" s="20"/>
      <c r="X142" s="20"/>
      <c r="Y142" s="20"/>
      <c r="Z142" s="20"/>
      <c r="AA142" s="20"/>
    </row>
    <row r="143" spans="1:27" ht="23.25" customHeight="1">
      <c r="A143" s="151" t="s">
        <v>384</v>
      </c>
      <c r="B143" s="648">
        <v>9</v>
      </c>
      <c r="C143" s="648">
        <v>6</v>
      </c>
      <c r="D143" s="648">
        <v>12</v>
      </c>
      <c r="E143" s="816" t="s">
        <v>49</v>
      </c>
      <c r="F143" s="836"/>
      <c r="G143" s="836"/>
      <c r="H143" s="836"/>
      <c r="I143" s="837"/>
      <c r="J143" s="670"/>
      <c r="K143" s="664"/>
      <c r="L143" s="664"/>
      <c r="M143" s="672"/>
      <c r="N143" s="672"/>
      <c r="O143" s="672"/>
      <c r="P143" s="673"/>
      <c r="Q143" s="673"/>
      <c r="R143" s="673"/>
      <c r="S143" s="20"/>
      <c r="T143" s="20"/>
      <c r="U143" s="20"/>
      <c r="V143" s="20"/>
      <c r="W143" s="20"/>
      <c r="X143" s="20"/>
      <c r="Y143" s="20"/>
      <c r="Z143" s="20"/>
      <c r="AA143" s="20"/>
    </row>
    <row r="144" spans="1:27" ht="27" customHeight="1">
      <c r="A144" s="151" t="s">
        <v>59</v>
      </c>
      <c r="B144" s="648">
        <v>1</v>
      </c>
      <c r="C144" s="648">
        <v>1</v>
      </c>
      <c r="D144" s="648">
        <v>1</v>
      </c>
      <c r="E144" s="816" t="s">
        <v>50</v>
      </c>
      <c r="F144" s="836"/>
      <c r="G144" s="836"/>
      <c r="H144" s="836"/>
      <c r="I144" s="837"/>
      <c r="J144" s="670"/>
      <c r="K144" s="673"/>
      <c r="L144" s="673"/>
      <c r="M144" s="672"/>
      <c r="N144" s="672"/>
      <c r="O144" s="672"/>
      <c r="P144" s="673"/>
      <c r="Q144" s="673"/>
      <c r="R144" s="673"/>
      <c r="S144" s="20"/>
      <c r="T144" s="20"/>
      <c r="U144" s="20"/>
      <c r="V144" s="20"/>
      <c r="W144" s="20"/>
      <c r="X144" s="20"/>
      <c r="Y144" s="20"/>
      <c r="Z144" s="20"/>
      <c r="AA144" s="20"/>
    </row>
    <row r="145" spans="1:27" ht="23.25" customHeight="1">
      <c r="A145" s="151" t="s">
        <v>60</v>
      </c>
      <c r="B145" s="648">
        <v>1</v>
      </c>
      <c r="C145" s="648">
        <v>1</v>
      </c>
      <c r="D145" s="648">
        <v>1</v>
      </c>
      <c r="E145" s="816" t="s">
        <v>51</v>
      </c>
      <c r="F145" s="836"/>
      <c r="G145" s="836"/>
      <c r="H145" s="836"/>
      <c r="I145" s="837"/>
      <c r="J145" s="670"/>
      <c r="K145" s="673"/>
      <c r="L145" s="673"/>
      <c r="M145" s="672"/>
      <c r="N145" s="672"/>
      <c r="O145" s="672"/>
      <c r="P145" s="673"/>
      <c r="Q145" s="673"/>
      <c r="R145" s="673"/>
      <c r="S145" s="20"/>
      <c r="T145" s="20"/>
      <c r="U145" s="20"/>
      <c r="V145" s="20"/>
      <c r="W145" s="20"/>
      <c r="X145" s="20"/>
      <c r="Y145" s="20"/>
      <c r="Z145" s="20"/>
      <c r="AA145" s="20"/>
    </row>
    <row r="146" spans="1:27" ht="25.5" customHeight="1">
      <c r="A146" s="151" t="s">
        <v>189</v>
      </c>
      <c r="B146" s="648">
        <v>1</v>
      </c>
      <c r="C146" s="648">
        <v>1</v>
      </c>
      <c r="D146" s="648">
        <v>1</v>
      </c>
      <c r="E146" s="816" t="s">
        <v>51</v>
      </c>
      <c r="F146" s="836"/>
      <c r="G146" s="836"/>
      <c r="H146" s="836"/>
      <c r="I146" s="837"/>
      <c r="J146" s="670"/>
      <c r="K146" s="673"/>
      <c r="L146" s="673"/>
      <c r="M146" s="672"/>
      <c r="N146" s="672"/>
      <c r="O146" s="672"/>
      <c r="P146" s="673"/>
      <c r="Q146" s="673"/>
      <c r="R146" s="673"/>
      <c r="S146" s="20"/>
      <c r="T146" s="20"/>
      <c r="U146" s="20"/>
      <c r="V146" s="20"/>
      <c r="W146" s="20"/>
      <c r="X146" s="20"/>
      <c r="Y146" s="20"/>
      <c r="Z146" s="20"/>
      <c r="AA146" s="20"/>
    </row>
    <row r="147" spans="1:27" ht="72.75" customHeight="1">
      <c r="A147" s="151" t="s">
        <v>296</v>
      </c>
      <c r="B147" s="650">
        <f>SUM(131400*Summary!D75)</f>
        <v>144395.46</v>
      </c>
      <c r="C147" s="650">
        <v>1</v>
      </c>
      <c r="D147" s="650">
        <f>SUM(144540*Summary!D75)</f>
        <v>158835.006</v>
      </c>
      <c r="E147" s="816" t="s">
        <v>432</v>
      </c>
      <c r="F147" s="817"/>
      <c r="G147" s="817"/>
      <c r="H147" s="817"/>
      <c r="I147" s="818"/>
      <c r="J147" s="670"/>
      <c r="K147" s="548"/>
      <c r="L147" s="664"/>
      <c r="M147" s="672"/>
      <c r="N147" s="672"/>
      <c r="O147" s="672"/>
      <c r="P147" s="673"/>
      <c r="Q147" s="673"/>
      <c r="R147" s="672"/>
      <c r="S147" s="20"/>
      <c r="T147" s="20"/>
      <c r="U147" s="20"/>
      <c r="V147" s="20"/>
      <c r="W147" s="20"/>
      <c r="X147" s="20"/>
      <c r="Y147" s="20"/>
      <c r="Z147" s="20"/>
      <c r="AA147" s="20"/>
    </row>
    <row r="148" spans="1:27" ht="36.75" customHeight="1">
      <c r="A148" s="152" t="s">
        <v>45</v>
      </c>
      <c r="B148" s="655">
        <v>1</v>
      </c>
      <c r="C148" s="651">
        <v>25</v>
      </c>
      <c r="D148" s="651">
        <v>1</v>
      </c>
      <c r="E148" s="819" t="s">
        <v>190</v>
      </c>
      <c r="F148" s="820"/>
      <c r="G148" s="820"/>
      <c r="H148" s="820"/>
      <c r="I148" s="821"/>
      <c r="J148" s="670"/>
      <c r="K148" s="664"/>
      <c r="L148" s="673"/>
      <c r="M148" s="672"/>
      <c r="N148" s="672"/>
      <c r="O148" s="672"/>
      <c r="P148" s="673"/>
      <c r="Q148" s="673"/>
      <c r="R148" s="673"/>
      <c r="S148" s="20"/>
      <c r="T148" s="20"/>
      <c r="U148" s="20"/>
      <c r="V148" s="20"/>
      <c r="W148" s="20"/>
      <c r="X148" s="20"/>
      <c r="Y148" s="20"/>
      <c r="Z148" s="20"/>
      <c r="AA148" s="20"/>
    </row>
    <row r="149" spans="1:27" ht="39.75" customHeight="1">
      <c r="A149" s="152" t="s">
        <v>13</v>
      </c>
      <c r="B149" s="655">
        <v>1</v>
      </c>
      <c r="C149" s="651">
        <v>25</v>
      </c>
      <c r="D149" s="651">
        <v>1</v>
      </c>
      <c r="E149" s="819" t="s">
        <v>77</v>
      </c>
      <c r="F149" s="817"/>
      <c r="G149" s="817"/>
      <c r="H149" s="817"/>
      <c r="I149" s="818"/>
      <c r="J149" s="670"/>
      <c r="K149" s="664"/>
      <c r="L149" s="673"/>
      <c r="M149" s="672"/>
      <c r="N149" s="672"/>
      <c r="O149" s="672"/>
      <c r="P149" s="673"/>
      <c r="Q149" s="673"/>
      <c r="R149" s="673"/>
      <c r="S149" s="20"/>
      <c r="T149" s="20"/>
      <c r="U149" s="20"/>
      <c r="V149" s="20"/>
      <c r="W149" s="20"/>
      <c r="X149" s="20"/>
      <c r="Y149" s="20"/>
      <c r="Z149" s="20"/>
      <c r="AA149" s="20"/>
    </row>
    <row r="150" spans="1:27" ht="27" customHeight="1">
      <c r="A150" s="153" t="s">
        <v>195</v>
      </c>
      <c r="B150" s="654">
        <v>4000</v>
      </c>
      <c r="C150" s="653">
        <v>3000</v>
      </c>
      <c r="D150" s="654">
        <v>5000</v>
      </c>
      <c r="E150" s="861" t="s">
        <v>194</v>
      </c>
      <c r="F150" s="862"/>
      <c r="G150" s="862"/>
      <c r="H150" s="862"/>
      <c r="I150" s="863"/>
      <c r="J150" s="670"/>
      <c r="K150" s="548"/>
      <c r="L150" s="673"/>
      <c r="M150" s="672"/>
      <c r="N150" s="672"/>
      <c r="O150" s="672"/>
      <c r="P150" s="673"/>
      <c r="Q150" s="673"/>
      <c r="R150" s="548"/>
      <c r="S150" s="20"/>
      <c r="T150" s="20"/>
      <c r="U150" s="20"/>
      <c r="V150" s="20"/>
      <c r="W150" s="20"/>
      <c r="X150" s="20"/>
      <c r="Y150" s="20"/>
      <c r="Z150" s="20"/>
      <c r="AA150" s="20"/>
    </row>
    <row r="151" spans="1:27" ht="13.5" customHeight="1">
      <c r="A151" s="425" t="s">
        <v>52</v>
      </c>
      <c r="B151" s="656"/>
      <c r="C151" s="657"/>
      <c r="D151" s="656"/>
      <c r="E151" s="864"/>
      <c r="F151" s="865"/>
      <c r="G151" s="865"/>
      <c r="H151" s="865"/>
      <c r="I151" s="866"/>
      <c r="J151" s="670"/>
      <c r="K151" s="127"/>
      <c r="L151" s="673"/>
      <c r="M151" s="672"/>
      <c r="N151" s="672"/>
      <c r="O151" s="672"/>
      <c r="P151" s="673"/>
      <c r="Q151" s="673"/>
      <c r="R151" s="127"/>
      <c r="S151" s="350"/>
      <c r="T151" s="350"/>
      <c r="U151" s="350"/>
      <c r="V151" s="350"/>
      <c r="W151" s="20"/>
      <c r="X151" s="20"/>
      <c r="Y151" s="20"/>
      <c r="Z151" s="20"/>
      <c r="AA151" s="20"/>
    </row>
    <row r="152" spans="1:27" ht="25.5" customHeight="1">
      <c r="A152" s="426" t="s">
        <v>62</v>
      </c>
      <c r="B152" s="660">
        <v>0.71</v>
      </c>
      <c r="C152" s="652">
        <v>60</v>
      </c>
      <c r="D152" s="660">
        <v>0.71</v>
      </c>
      <c r="E152" s="807" t="s">
        <v>78</v>
      </c>
      <c r="F152" s="808"/>
      <c r="G152" s="808"/>
      <c r="H152" s="808"/>
      <c r="I152" s="809"/>
      <c r="J152" s="670"/>
      <c r="K152" s="674"/>
      <c r="L152" s="673"/>
      <c r="M152" s="672"/>
      <c r="N152" s="672"/>
      <c r="O152" s="672"/>
      <c r="P152" s="673"/>
      <c r="Q152" s="673"/>
      <c r="R152" s="673"/>
      <c r="S152" s="350"/>
      <c r="T152" s="350"/>
      <c r="U152" s="350"/>
      <c r="V152" s="350"/>
      <c r="W152" s="20"/>
      <c r="X152" s="20"/>
      <c r="Y152" s="20"/>
      <c r="Z152" s="20"/>
      <c r="AA152" s="20"/>
    </row>
    <row r="153" spans="1:27" ht="12.75">
      <c r="A153" s="426" t="s">
        <v>53</v>
      </c>
      <c r="B153" s="660">
        <v>3.02</v>
      </c>
      <c r="C153" s="652">
        <v>2.25</v>
      </c>
      <c r="D153" s="660">
        <v>3.75</v>
      </c>
      <c r="E153" s="807" t="s">
        <v>55</v>
      </c>
      <c r="F153" s="808"/>
      <c r="G153" s="808"/>
      <c r="H153" s="808"/>
      <c r="I153" s="809"/>
      <c r="J153" s="670"/>
      <c r="K153" s="673"/>
      <c r="L153" s="673"/>
      <c r="M153" s="672"/>
      <c r="N153" s="672"/>
      <c r="O153" s="672"/>
      <c r="P153" s="673"/>
      <c r="Q153" s="673"/>
      <c r="R153" s="672"/>
      <c r="S153" s="350"/>
      <c r="T153" s="350"/>
      <c r="U153" s="350"/>
      <c r="V153" s="350"/>
      <c r="W153" s="20"/>
      <c r="X153" s="20"/>
      <c r="Y153" s="20"/>
      <c r="Z153" s="20"/>
      <c r="AA153" s="20"/>
    </row>
    <row r="154" spans="1:27" ht="22.5">
      <c r="A154" s="426" t="s">
        <v>54</v>
      </c>
      <c r="B154" s="652">
        <v>19.564</v>
      </c>
      <c r="C154" s="652">
        <f>SUM(B154*0.85)</f>
        <v>16.6294</v>
      </c>
      <c r="D154" s="652">
        <f>SUM(B154*1.15)</f>
        <v>22.4986</v>
      </c>
      <c r="E154" s="807" t="s">
        <v>56</v>
      </c>
      <c r="F154" s="808"/>
      <c r="G154" s="808"/>
      <c r="H154" s="808"/>
      <c r="I154" s="809"/>
      <c r="J154" s="670"/>
      <c r="K154" s="674"/>
      <c r="L154" s="674"/>
      <c r="M154" s="672"/>
      <c r="N154" s="672"/>
      <c r="O154" s="672"/>
      <c r="P154" s="673"/>
      <c r="Q154" s="673"/>
      <c r="R154" s="672"/>
      <c r="S154" s="350"/>
      <c r="T154" s="350"/>
      <c r="U154" s="350"/>
      <c r="V154" s="350"/>
      <c r="W154" s="20"/>
      <c r="X154" s="20"/>
      <c r="Y154" s="20"/>
      <c r="Z154" s="20"/>
      <c r="AA154" s="20"/>
    </row>
    <row r="155" spans="1:27" ht="39.75" customHeight="1">
      <c r="A155" s="427" t="s">
        <v>57</v>
      </c>
      <c r="B155" s="661">
        <v>50000</v>
      </c>
      <c r="C155" s="661">
        <f>SUM(B155*0.8)</f>
        <v>40000</v>
      </c>
      <c r="D155" s="661">
        <f>SUM(B155*1.2)</f>
        <v>60000</v>
      </c>
      <c r="E155" s="810" t="s">
        <v>70</v>
      </c>
      <c r="F155" s="811"/>
      <c r="G155" s="811"/>
      <c r="H155" s="811"/>
      <c r="I155" s="812"/>
      <c r="J155" s="670"/>
      <c r="K155" s="674"/>
      <c r="L155" s="674"/>
      <c r="M155" s="672"/>
      <c r="N155" s="672"/>
      <c r="O155" s="672"/>
      <c r="P155" s="673"/>
      <c r="Q155" s="673"/>
      <c r="R155" s="672"/>
      <c r="S155" s="350"/>
      <c r="T155" s="350"/>
      <c r="U155" s="350"/>
      <c r="V155" s="350"/>
      <c r="W155" s="20"/>
      <c r="X155" s="20"/>
      <c r="Y155" s="20"/>
      <c r="Z155" s="20"/>
      <c r="AA155" s="20"/>
    </row>
    <row r="156" spans="1:27" ht="13.5" thickBot="1">
      <c r="A156" s="665"/>
      <c r="B156" s="428"/>
      <c r="C156" s="428"/>
      <c r="D156" s="428"/>
      <c r="E156" s="857"/>
      <c r="F156" s="858"/>
      <c r="G156" s="858"/>
      <c r="H156" s="858"/>
      <c r="I156" s="859"/>
      <c r="J156" s="675"/>
      <c r="K156" s="127"/>
      <c r="L156" s="127"/>
      <c r="M156" s="127"/>
      <c r="N156" s="127"/>
      <c r="O156" s="127"/>
      <c r="P156" s="127"/>
      <c r="Q156" s="127"/>
      <c r="R156" s="127"/>
      <c r="S156" s="350"/>
      <c r="T156" s="350"/>
      <c r="U156" s="350"/>
      <c r="V156" s="350"/>
      <c r="W156" s="20"/>
      <c r="X156" s="20"/>
      <c r="Y156" s="20"/>
      <c r="Z156" s="20"/>
      <c r="AA156" s="20"/>
    </row>
    <row r="157" spans="1:27" ht="12.75" customHeight="1" thickTop="1">
      <c r="A157" s="825"/>
      <c r="B157" s="826"/>
      <c r="C157" s="662"/>
      <c r="D157" s="662"/>
      <c r="E157" s="662"/>
      <c r="F157" s="714" t="s">
        <v>364</v>
      </c>
      <c r="G157" s="663"/>
      <c r="J157" s="20"/>
      <c r="K157" s="20"/>
      <c r="L157" s="20"/>
      <c r="M157" s="20"/>
      <c r="N157" s="20"/>
      <c r="O157" s="20"/>
      <c r="P157" s="20"/>
      <c r="Q157" s="20"/>
      <c r="R157" s="20"/>
      <c r="S157" s="20"/>
      <c r="T157" s="20"/>
      <c r="U157" s="20"/>
      <c r="V157" s="20"/>
      <c r="W157" s="20"/>
      <c r="X157" s="20"/>
      <c r="Y157" s="20"/>
      <c r="Z157" s="20"/>
      <c r="AA157" s="20"/>
    </row>
    <row r="158" spans="10:27" ht="12.75">
      <c r="J158" s="20"/>
      <c r="K158" s="20"/>
      <c r="L158" s="20"/>
      <c r="M158" s="20"/>
      <c r="N158" s="20"/>
      <c r="O158" s="20"/>
      <c r="P158" s="20"/>
      <c r="Q158" s="20"/>
      <c r="R158" s="20"/>
      <c r="S158" s="20"/>
      <c r="T158" s="20"/>
      <c r="U158" s="20"/>
      <c r="V158" s="20"/>
      <c r="W158" s="20"/>
      <c r="X158" s="20"/>
      <c r="Y158" s="20"/>
      <c r="Z158" s="20"/>
      <c r="AA158" s="20"/>
    </row>
    <row r="159" spans="10:27" ht="12.75">
      <c r="J159" s="20"/>
      <c r="K159" s="20"/>
      <c r="L159" s="20"/>
      <c r="M159" s="20"/>
      <c r="N159" s="20"/>
      <c r="O159" s="20"/>
      <c r="P159" s="20"/>
      <c r="Q159" s="20"/>
      <c r="R159" s="20"/>
      <c r="S159" s="20"/>
      <c r="T159" s="20"/>
      <c r="U159" s="20"/>
      <c r="V159" s="20"/>
      <c r="W159" s="20"/>
      <c r="X159" s="20"/>
      <c r="Y159" s="20"/>
      <c r="Z159" s="20"/>
      <c r="AA159" s="20"/>
    </row>
    <row r="160" spans="10:18" ht="12.75">
      <c r="J160" s="20"/>
      <c r="K160" s="20"/>
      <c r="L160" s="20"/>
      <c r="M160" s="20"/>
      <c r="N160" s="20"/>
      <c r="O160" s="20"/>
      <c r="P160" s="20"/>
      <c r="Q160" s="20"/>
      <c r="R160" s="20"/>
    </row>
    <row r="161" spans="10:18" ht="12.75">
      <c r="J161" s="20"/>
      <c r="K161" s="20"/>
      <c r="L161" s="20"/>
      <c r="M161" s="20"/>
      <c r="N161" s="20"/>
      <c r="O161" s="20"/>
      <c r="P161" s="20"/>
      <c r="Q161" s="20"/>
      <c r="R161" s="20"/>
    </row>
    <row r="162" spans="10:18" ht="12.75">
      <c r="J162" s="20"/>
      <c r="K162" s="20"/>
      <c r="L162" s="20"/>
      <c r="M162" s="20"/>
      <c r="N162" s="20"/>
      <c r="O162" s="20"/>
      <c r="P162" s="20"/>
      <c r="Q162" s="20"/>
      <c r="R162" s="20"/>
    </row>
    <row r="163" spans="10:18" ht="12.75">
      <c r="J163" s="20"/>
      <c r="K163" s="20"/>
      <c r="L163" s="20"/>
      <c r="M163" s="20"/>
      <c r="N163" s="20"/>
      <c r="O163" s="20"/>
      <c r="P163" s="20"/>
      <c r="Q163" s="20"/>
      <c r="R163" s="20"/>
    </row>
    <row r="164" spans="10:18" ht="12.75">
      <c r="J164" s="20"/>
      <c r="K164" s="20"/>
      <c r="L164" s="20"/>
      <c r="M164" s="20"/>
      <c r="N164" s="20"/>
      <c r="O164" s="20"/>
      <c r="P164" s="20"/>
      <c r="Q164" s="20"/>
      <c r="R164" s="20"/>
    </row>
    <row r="165" spans="10:18" ht="12.75">
      <c r="J165" s="20"/>
      <c r="K165" s="20"/>
      <c r="L165" s="20"/>
      <c r="M165" s="20"/>
      <c r="N165" s="20"/>
      <c r="O165" s="20"/>
      <c r="P165" s="20"/>
      <c r="Q165" s="20"/>
      <c r="R165" s="20"/>
    </row>
    <row r="166" spans="10:18" ht="12.75">
      <c r="J166" s="20"/>
      <c r="K166" s="20"/>
      <c r="L166" s="20"/>
      <c r="M166" s="20"/>
      <c r="N166" s="20"/>
      <c r="O166" s="20"/>
      <c r="P166" s="20"/>
      <c r="Q166" s="20"/>
      <c r="R166" s="20"/>
    </row>
    <row r="167" spans="10:18" ht="12.75">
      <c r="J167" s="20"/>
      <c r="K167" s="20"/>
      <c r="L167" s="20"/>
      <c r="M167" s="20"/>
      <c r="N167" s="20"/>
      <c r="O167" s="20"/>
      <c r="P167" s="20"/>
      <c r="Q167" s="20"/>
      <c r="R167" s="20"/>
    </row>
    <row r="168" spans="10:18" ht="12.75">
      <c r="J168" s="20"/>
      <c r="K168" s="20"/>
      <c r="L168" s="20"/>
      <c r="M168" s="20"/>
      <c r="N168" s="20"/>
      <c r="O168" s="20"/>
      <c r="P168" s="20"/>
      <c r="Q168" s="20"/>
      <c r="R168" s="20"/>
    </row>
    <row r="169" spans="10:18" ht="12.75">
      <c r="J169" s="20"/>
      <c r="K169" s="20"/>
      <c r="L169" s="20"/>
      <c r="M169" s="20"/>
      <c r="N169" s="20"/>
      <c r="O169" s="20"/>
      <c r="P169" s="20"/>
      <c r="Q169" s="20"/>
      <c r="R169" s="20"/>
    </row>
    <row r="170" spans="10:18" ht="12.75">
      <c r="J170" s="20"/>
      <c r="K170" s="20"/>
      <c r="L170" s="20"/>
      <c r="M170" s="20"/>
      <c r="N170" s="20"/>
      <c r="O170" s="20"/>
      <c r="P170" s="20"/>
      <c r="Q170" s="20"/>
      <c r="R170" s="20"/>
    </row>
    <row r="171" spans="10:18" ht="12.75">
      <c r="J171" s="20"/>
      <c r="K171" s="20"/>
      <c r="L171" s="20"/>
      <c r="M171" s="20"/>
      <c r="N171" s="20"/>
      <c r="O171" s="20"/>
      <c r="P171" s="20"/>
      <c r="Q171" s="20"/>
      <c r="R171" s="20"/>
    </row>
    <row r="172" spans="10:18" ht="12.75">
      <c r="J172" s="20"/>
      <c r="K172" s="20"/>
      <c r="L172" s="20"/>
      <c r="M172" s="20"/>
      <c r="N172" s="20"/>
      <c r="O172" s="20"/>
      <c r="P172" s="20"/>
      <c r="Q172" s="20"/>
      <c r="R172" s="20"/>
    </row>
    <row r="173" spans="10:18" ht="12.75">
      <c r="J173" s="20"/>
      <c r="K173" s="20"/>
      <c r="L173" s="20"/>
      <c r="M173" s="20"/>
      <c r="N173" s="20"/>
      <c r="O173" s="20"/>
      <c r="P173" s="20"/>
      <c r="Q173" s="20"/>
      <c r="R173" s="20"/>
    </row>
    <row r="174" spans="10:18" ht="12.75">
      <c r="J174" s="20"/>
      <c r="K174" s="20"/>
      <c r="L174" s="20"/>
      <c r="M174" s="20"/>
      <c r="N174" s="20"/>
      <c r="O174" s="20"/>
      <c r="P174" s="20"/>
      <c r="Q174" s="20"/>
      <c r="R174" s="20"/>
    </row>
    <row r="175" spans="10:18" ht="12.75">
      <c r="J175" s="20"/>
      <c r="K175" s="20"/>
      <c r="L175" s="20"/>
      <c r="M175" s="20"/>
      <c r="N175" s="20"/>
      <c r="O175" s="20"/>
      <c r="P175" s="20"/>
      <c r="Q175" s="20"/>
      <c r="R175" s="20"/>
    </row>
    <row r="176" spans="10:18" ht="12.75">
      <c r="J176" s="20"/>
      <c r="K176" s="20"/>
      <c r="L176" s="20"/>
      <c r="M176" s="20"/>
      <c r="N176" s="20"/>
      <c r="O176" s="20"/>
      <c r="P176" s="20"/>
      <c r="Q176" s="20"/>
      <c r="R176" s="20"/>
    </row>
    <row r="177" spans="10:18" ht="12.75">
      <c r="J177" s="20"/>
      <c r="K177" s="20"/>
      <c r="L177" s="20"/>
      <c r="M177" s="20"/>
      <c r="N177" s="20"/>
      <c r="O177" s="20"/>
      <c r="P177" s="20"/>
      <c r="Q177" s="20"/>
      <c r="R177" s="20"/>
    </row>
    <row r="178" spans="10:18" ht="12.75">
      <c r="J178" s="20"/>
      <c r="K178" s="20"/>
      <c r="L178" s="20"/>
      <c r="M178" s="20"/>
      <c r="N178" s="20"/>
      <c r="O178" s="20"/>
      <c r="P178" s="20"/>
      <c r="Q178" s="20"/>
      <c r="R178" s="20"/>
    </row>
    <row r="179" spans="10:18" ht="12.75">
      <c r="J179" s="20"/>
      <c r="K179" s="20"/>
      <c r="L179" s="20"/>
      <c r="M179" s="20"/>
      <c r="N179" s="20"/>
      <c r="O179" s="20"/>
      <c r="P179" s="20"/>
      <c r="Q179" s="20"/>
      <c r="R179" s="20"/>
    </row>
    <row r="180" spans="10:18" ht="12.75">
      <c r="J180" s="20"/>
      <c r="K180" s="20"/>
      <c r="L180" s="20"/>
      <c r="M180" s="20"/>
      <c r="N180" s="20"/>
      <c r="O180" s="20"/>
      <c r="P180" s="20"/>
      <c r="Q180" s="20"/>
      <c r="R180" s="20"/>
    </row>
    <row r="181" spans="10:18" ht="12.75">
      <c r="J181" s="20"/>
      <c r="K181" s="20"/>
      <c r="L181" s="20"/>
      <c r="M181" s="20"/>
      <c r="N181" s="20"/>
      <c r="O181" s="20"/>
      <c r="P181" s="20"/>
      <c r="Q181" s="20"/>
      <c r="R181" s="20"/>
    </row>
    <row r="182" spans="10:18" ht="12.75">
      <c r="J182" s="20"/>
      <c r="K182" s="20"/>
      <c r="L182" s="20"/>
      <c r="M182" s="20"/>
      <c r="N182" s="20"/>
      <c r="O182" s="20"/>
      <c r="P182" s="20"/>
      <c r="Q182" s="20"/>
      <c r="R182" s="20"/>
    </row>
    <row r="183" spans="10:18" ht="12.75">
      <c r="J183" s="20"/>
      <c r="K183" s="20"/>
      <c r="L183" s="20"/>
      <c r="M183" s="20"/>
      <c r="N183" s="20"/>
      <c r="O183" s="20"/>
      <c r="P183" s="20"/>
      <c r="Q183" s="20"/>
      <c r="R183" s="20"/>
    </row>
    <row r="184" spans="10:18" ht="12.75">
      <c r="J184" s="20"/>
      <c r="K184" s="20"/>
      <c r="L184" s="20"/>
      <c r="M184" s="20"/>
      <c r="N184" s="20"/>
      <c r="O184" s="20"/>
      <c r="P184" s="20"/>
      <c r="Q184" s="20"/>
      <c r="R184" s="20"/>
    </row>
    <row r="185" spans="10:18" ht="12.75">
      <c r="J185" s="20"/>
      <c r="K185" s="20"/>
      <c r="L185" s="20"/>
      <c r="M185" s="20"/>
      <c r="N185" s="20"/>
      <c r="O185" s="20"/>
      <c r="P185" s="20"/>
      <c r="Q185" s="20"/>
      <c r="R185" s="20"/>
    </row>
    <row r="186" spans="10:18" ht="12.75">
      <c r="J186" s="20"/>
      <c r="K186" s="20"/>
      <c r="L186" s="20"/>
      <c r="M186" s="20"/>
      <c r="N186" s="20"/>
      <c r="O186" s="20"/>
      <c r="P186" s="20"/>
      <c r="Q186" s="20"/>
      <c r="R186" s="20"/>
    </row>
    <row r="187" spans="10:18" ht="12.75">
      <c r="J187" s="20"/>
      <c r="K187" s="20"/>
      <c r="L187" s="20"/>
      <c r="M187" s="20"/>
      <c r="N187" s="20"/>
      <c r="O187" s="20"/>
      <c r="P187" s="20"/>
      <c r="Q187" s="20"/>
      <c r="R187" s="20"/>
    </row>
    <row r="188" spans="10:18" ht="12.75">
      <c r="J188" s="20"/>
      <c r="K188" s="20"/>
      <c r="L188" s="20"/>
      <c r="M188" s="20"/>
      <c r="N188" s="20"/>
      <c r="O188" s="20"/>
      <c r="P188" s="20"/>
      <c r="Q188" s="20"/>
      <c r="R188" s="20"/>
    </row>
    <row r="189" spans="10:18" ht="12.75">
      <c r="J189" s="20"/>
      <c r="K189" s="20"/>
      <c r="L189" s="20"/>
      <c r="M189" s="20"/>
      <c r="N189" s="20"/>
      <c r="O189" s="20"/>
      <c r="P189" s="20"/>
      <c r="Q189" s="20"/>
      <c r="R189" s="20"/>
    </row>
    <row r="190" spans="10:18" ht="12.75">
      <c r="J190" s="20"/>
      <c r="K190" s="20"/>
      <c r="L190" s="20"/>
      <c r="M190" s="20"/>
      <c r="N190" s="20"/>
      <c r="O190" s="20"/>
      <c r="P190" s="20"/>
      <c r="Q190" s="20"/>
      <c r="R190" s="20"/>
    </row>
    <row r="191" spans="10:18" ht="12.75">
      <c r="J191" s="20"/>
      <c r="K191" s="20"/>
      <c r="L191" s="20"/>
      <c r="M191" s="20"/>
      <c r="N191" s="20"/>
      <c r="O191" s="20"/>
      <c r="P191" s="20"/>
      <c r="Q191" s="20"/>
      <c r="R191" s="20"/>
    </row>
    <row r="192" spans="10:18" ht="12.75">
      <c r="J192" s="20"/>
      <c r="K192" s="20"/>
      <c r="L192" s="20"/>
      <c r="M192" s="20"/>
      <c r="N192" s="20"/>
      <c r="O192" s="20"/>
      <c r="P192" s="20"/>
      <c r="Q192" s="20"/>
      <c r="R192" s="20"/>
    </row>
    <row r="193" spans="10:18" ht="12.75">
      <c r="J193" s="20"/>
      <c r="K193" s="20"/>
      <c r="L193" s="20"/>
      <c r="M193" s="20"/>
      <c r="N193" s="20"/>
      <c r="O193" s="20"/>
      <c r="P193" s="20"/>
      <c r="Q193" s="20"/>
      <c r="R193" s="20"/>
    </row>
    <row r="194" spans="10:18" ht="12.75">
      <c r="J194" s="20"/>
      <c r="K194" s="20"/>
      <c r="L194" s="20"/>
      <c r="M194" s="20"/>
      <c r="N194" s="20"/>
      <c r="O194" s="20"/>
      <c r="P194" s="20"/>
      <c r="Q194" s="20"/>
      <c r="R194" s="20"/>
    </row>
    <row r="195" spans="10:18" ht="12.75">
      <c r="J195" s="20"/>
      <c r="K195" s="20"/>
      <c r="L195" s="20"/>
      <c r="M195" s="20"/>
      <c r="N195" s="20"/>
      <c r="O195" s="20"/>
      <c r="P195" s="20"/>
      <c r="Q195" s="20"/>
      <c r="R195" s="20"/>
    </row>
    <row r="196" spans="10:18" ht="12.75">
      <c r="J196" s="20"/>
      <c r="K196" s="20"/>
      <c r="L196" s="20"/>
      <c r="M196" s="20"/>
      <c r="N196" s="20"/>
      <c r="O196" s="20"/>
      <c r="P196" s="20"/>
      <c r="Q196" s="20"/>
      <c r="R196" s="20"/>
    </row>
    <row r="197" spans="10:18" ht="12.75">
      <c r="J197" s="20"/>
      <c r="K197" s="20"/>
      <c r="L197" s="20"/>
      <c r="M197" s="20"/>
      <c r="N197" s="20"/>
      <c r="O197" s="20"/>
      <c r="P197" s="20"/>
      <c r="Q197" s="20"/>
      <c r="R197" s="20"/>
    </row>
    <row r="198" spans="10:18" ht="12.75">
      <c r="J198" s="20"/>
      <c r="K198" s="20"/>
      <c r="L198" s="20"/>
      <c r="M198" s="20"/>
      <c r="N198" s="20"/>
      <c r="O198" s="20"/>
      <c r="P198" s="20"/>
      <c r="Q198" s="20"/>
      <c r="R198" s="20"/>
    </row>
    <row r="199" spans="10:18" ht="12.75">
      <c r="J199" s="20"/>
      <c r="K199" s="20"/>
      <c r="L199" s="20"/>
      <c r="M199" s="20"/>
      <c r="N199" s="20"/>
      <c r="O199" s="20"/>
      <c r="P199" s="20"/>
      <c r="Q199" s="20"/>
      <c r="R199" s="20"/>
    </row>
    <row r="200" spans="10:18" ht="12.75">
      <c r="J200" s="20"/>
      <c r="K200" s="20"/>
      <c r="L200" s="20"/>
      <c r="M200" s="20"/>
      <c r="N200" s="20"/>
      <c r="O200" s="20"/>
      <c r="P200" s="20"/>
      <c r="Q200" s="20"/>
      <c r="R200" s="20"/>
    </row>
    <row r="201" spans="10:18" ht="12.75">
      <c r="J201" s="20"/>
      <c r="K201" s="20"/>
      <c r="L201" s="20"/>
      <c r="M201" s="20"/>
      <c r="N201" s="20"/>
      <c r="O201" s="20"/>
      <c r="P201" s="20"/>
      <c r="Q201" s="20"/>
      <c r="R201" s="20"/>
    </row>
    <row r="202" spans="10:18" ht="12.75">
      <c r="J202" s="20"/>
      <c r="K202" s="20"/>
      <c r="L202" s="20"/>
      <c r="M202" s="20"/>
      <c r="N202" s="20"/>
      <c r="O202" s="20"/>
      <c r="P202" s="20"/>
      <c r="Q202" s="20"/>
      <c r="R202" s="20"/>
    </row>
    <row r="203" spans="10:18" ht="12.75">
      <c r="J203" s="20"/>
      <c r="K203" s="20"/>
      <c r="L203" s="20"/>
      <c r="M203" s="20"/>
      <c r="N203" s="20"/>
      <c r="O203" s="20"/>
      <c r="P203" s="20"/>
      <c r="Q203" s="20"/>
      <c r="R203" s="20"/>
    </row>
    <row r="204" spans="10:18" ht="12.75">
      <c r="J204" s="20"/>
      <c r="K204" s="20"/>
      <c r="L204" s="20"/>
      <c r="M204" s="20"/>
      <c r="N204" s="20"/>
      <c r="O204" s="20"/>
      <c r="P204" s="20"/>
      <c r="Q204" s="20"/>
      <c r="R204" s="20"/>
    </row>
    <row r="205" spans="10:18" ht="12.75">
      <c r="J205" s="20"/>
      <c r="K205" s="20"/>
      <c r="L205" s="20"/>
      <c r="M205" s="20"/>
      <c r="N205" s="20"/>
      <c r="O205" s="20"/>
      <c r="P205" s="20"/>
      <c r="Q205" s="20"/>
      <c r="R205" s="20"/>
    </row>
    <row r="206" spans="10:18" ht="12.75">
      <c r="J206" s="20"/>
      <c r="K206" s="20"/>
      <c r="L206" s="20"/>
      <c r="M206" s="20"/>
      <c r="N206" s="20"/>
      <c r="O206" s="20"/>
      <c r="P206" s="20"/>
      <c r="Q206" s="20"/>
      <c r="R206" s="20"/>
    </row>
    <row r="207" spans="10:18" ht="12.75">
      <c r="J207" s="20"/>
      <c r="K207" s="20"/>
      <c r="L207" s="20"/>
      <c r="M207" s="20"/>
      <c r="N207" s="20"/>
      <c r="O207" s="20"/>
      <c r="P207" s="20"/>
      <c r="Q207" s="20"/>
      <c r="R207" s="20"/>
    </row>
    <row r="208" spans="10:18" ht="12.75">
      <c r="J208" s="20"/>
      <c r="K208" s="20"/>
      <c r="L208" s="20"/>
      <c r="M208" s="20"/>
      <c r="N208" s="20"/>
      <c r="O208" s="20"/>
      <c r="P208" s="20"/>
      <c r="Q208" s="20"/>
      <c r="R208" s="20"/>
    </row>
    <row r="209" spans="10:18" ht="12.75">
      <c r="J209" s="20"/>
      <c r="K209" s="20"/>
      <c r="L209" s="20"/>
      <c r="M209" s="20"/>
      <c r="N209" s="20"/>
      <c r="O209" s="20"/>
      <c r="P209" s="20"/>
      <c r="Q209" s="20"/>
      <c r="R209" s="20"/>
    </row>
    <row r="210" spans="10:18" ht="12.75">
      <c r="J210" s="20"/>
      <c r="K210" s="20"/>
      <c r="L210" s="20"/>
      <c r="M210" s="20"/>
      <c r="N210" s="20"/>
      <c r="O210" s="20"/>
      <c r="P210" s="20"/>
      <c r="Q210" s="20"/>
      <c r="R210" s="20"/>
    </row>
    <row r="211" spans="10:18" ht="12.75">
      <c r="J211" s="20"/>
      <c r="K211" s="20"/>
      <c r="L211" s="20"/>
      <c r="M211" s="20"/>
      <c r="N211" s="20"/>
      <c r="O211" s="20"/>
      <c r="P211" s="20"/>
      <c r="Q211" s="20"/>
      <c r="R211" s="20"/>
    </row>
    <row r="212" spans="10:18" ht="12.75">
      <c r="J212" s="20"/>
      <c r="K212" s="20"/>
      <c r="L212" s="20"/>
      <c r="M212" s="20"/>
      <c r="N212" s="20"/>
      <c r="O212" s="20"/>
      <c r="P212" s="20"/>
      <c r="Q212" s="20"/>
      <c r="R212" s="20"/>
    </row>
    <row r="213" spans="10:18" ht="12.75">
      <c r="J213" s="20"/>
      <c r="K213" s="20"/>
      <c r="L213" s="20"/>
      <c r="M213" s="20"/>
      <c r="N213" s="20"/>
      <c r="O213" s="20"/>
      <c r="P213" s="20"/>
      <c r="Q213" s="20"/>
      <c r="R213" s="20"/>
    </row>
    <row r="214" spans="10:18" ht="12.75">
      <c r="J214" s="20"/>
      <c r="K214" s="20"/>
      <c r="L214" s="20"/>
      <c r="M214" s="20"/>
      <c r="N214" s="20"/>
      <c r="O214" s="20"/>
      <c r="P214" s="20"/>
      <c r="Q214" s="20"/>
      <c r="R214" s="20"/>
    </row>
    <row r="215" spans="10:18" ht="12.75">
      <c r="J215" s="20"/>
      <c r="K215" s="20"/>
      <c r="L215" s="20"/>
      <c r="M215" s="20"/>
      <c r="N215" s="20"/>
      <c r="O215" s="20"/>
      <c r="P215" s="20"/>
      <c r="Q215" s="20"/>
      <c r="R215" s="20"/>
    </row>
    <row r="216" spans="10:18" ht="12.75">
      <c r="J216" s="20"/>
      <c r="K216" s="20"/>
      <c r="L216" s="20"/>
      <c r="M216" s="20"/>
      <c r="N216" s="20"/>
      <c r="O216" s="20"/>
      <c r="P216" s="20"/>
      <c r="Q216" s="20"/>
      <c r="R216" s="20"/>
    </row>
    <row r="217" spans="10:18" ht="12.75">
      <c r="J217" s="20"/>
      <c r="K217" s="20"/>
      <c r="L217" s="20"/>
      <c r="M217" s="20"/>
      <c r="N217" s="20"/>
      <c r="O217" s="20"/>
      <c r="P217" s="20"/>
      <c r="Q217" s="20"/>
      <c r="R217" s="20"/>
    </row>
    <row r="218" spans="10:18" ht="12.75">
      <c r="J218" s="20"/>
      <c r="K218" s="20"/>
      <c r="L218" s="20"/>
      <c r="M218" s="20"/>
      <c r="N218" s="20"/>
      <c r="O218" s="20"/>
      <c r="P218" s="20"/>
      <c r="Q218" s="20"/>
      <c r="R218" s="20"/>
    </row>
    <row r="219" spans="10:18" ht="12.75">
      <c r="J219" s="20"/>
      <c r="K219" s="20"/>
      <c r="L219" s="20"/>
      <c r="M219" s="20"/>
      <c r="N219" s="20"/>
      <c r="O219" s="20"/>
      <c r="P219" s="20"/>
      <c r="Q219" s="20"/>
      <c r="R219" s="20"/>
    </row>
    <row r="220" spans="10:18" ht="12.75">
      <c r="J220" s="20"/>
      <c r="K220" s="20"/>
      <c r="L220" s="20"/>
      <c r="M220" s="20"/>
      <c r="N220" s="20"/>
      <c r="O220" s="20"/>
      <c r="P220" s="20"/>
      <c r="Q220" s="20"/>
      <c r="R220" s="20"/>
    </row>
    <row r="221" spans="10:18" ht="12.75">
      <c r="J221" s="20"/>
      <c r="K221" s="20"/>
      <c r="L221" s="20"/>
      <c r="M221" s="20"/>
      <c r="N221" s="20"/>
      <c r="O221" s="20"/>
      <c r="P221" s="20"/>
      <c r="Q221" s="20"/>
      <c r="R221" s="20"/>
    </row>
    <row r="222" spans="10:18" ht="12.75">
      <c r="J222" s="20"/>
      <c r="K222" s="20"/>
      <c r="L222" s="20"/>
      <c r="M222" s="20"/>
      <c r="N222" s="20"/>
      <c r="O222" s="20"/>
      <c r="P222" s="20"/>
      <c r="Q222" s="20"/>
      <c r="R222" s="20"/>
    </row>
    <row r="223" spans="10:18" ht="12.75">
      <c r="J223" s="20"/>
      <c r="K223" s="20"/>
      <c r="L223" s="20"/>
      <c r="M223" s="20"/>
      <c r="N223" s="20"/>
      <c r="O223" s="20"/>
      <c r="P223" s="20"/>
      <c r="Q223" s="20"/>
      <c r="R223" s="20"/>
    </row>
    <row r="224" spans="10:18" ht="12.75">
      <c r="J224" s="20"/>
      <c r="K224" s="20"/>
      <c r="L224" s="20"/>
      <c r="M224" s="20"/>
      <c r="N224" s="20"/>
      <c r="O224" s="20"/>
      <c r="P224" s="20"/>
      <c r="Q224" s="20"/>
      <c r="R224" s="20"/>
    </row>
    <row r="225" spans="10:18" ht="12.75">
      <c r="J225" s="20"/>
      <c r="K225" s="20"/>
      <c r="L225" s="20"/>
      <c r="M225" s="20"/>
      <c r="N225" s="20"/>
      <c r="O225" s="20"/>
      <c r="P225" s="20"/>
      <c r="Q225" s="20"/>
      <c r="R225" s="20"/>
    </row>
    <row r="226" spans="10:18" ht="12.75">
      <c r="J226" s="20"/>
      <c r="K226" s="20"/>
      <c r="L226" s="20"/>
      <c r="M226" s="20"/>
      <c r="N226" s="20"/>
      <c r="O226" s="20"/>
      <c r="P226" s="20"/>
      <c r="Q226" s="20"/>
      <c r="R226" s="20"/>
    </row>
    <row r="227" spans="10:18" ht="12.75">
      <c r="J227" s="20"/>
      <c r="K227" s="20"/>
      <c r="L227" s="20"/>
      <c r="M227" s="20"/>
      <c r="N227" s="20"/>
      <c r="O227" s="20"/>
      <c r="P227" s="20"/>
      <c r="Q227" s="20"/>
      <c r="R227" s="20"/>
    </row>
    <row r="228" spans="10:18" ht="12.75">
      <c r="J228" s="20"/>
      <c r="K228" s="20"/>
      <c r="L228" s="20"/>
      <c r="M228" s="20"/>
      <c r="N228" s="20"/>
      <c r="O228" s="20"/>
      <c r="P228" s="20"/>
      <c r="Q228" s="20"/>
      <c r="R228" s="20"/>
    </row>
    <row r="229" spans="10:18" ht="12.75">
      <c r="J229" s="20"/>
      <c r="K229" s="20"/>
      <c r="L229" s="20"/>
      <c r="M229" s="20"/>
      <c r="N229" s="20"/>
      <c r="O229" s="20"/>
      <c r="P229" s="20"/>
      <c r="Q229" s="20"/>
      <c r="R229" s="20"/>
    </row>
    <row r="230" spans="10:18" ht="12.75">
      <c r="J230" s="20"/>
      <c r="K230" s="20"/>
      <c r="L230" s="20"/>
      <c r="M230" s="20"/>
      <c r="N230" s="20"/>
      <c r="O230" s="20"/>
      <c r="P230" s="20"/>
      <c r="Q230" s="20"/>
      <c r="R230" s="20"/>
    </row>
    <row r="231" spans="10:18" ht="12.75">
      <c r="J231" s="20"/>
      <c r="K231" s="20"/>
      <c r="L231" s="20"/>
      <c r="M231" s="20"/>
      <c r="N231" s="20"/>
      <c r="O231" s="20"/>
      <c r="P231" s="20"/>
      <c r="Q231" s="20"/>
      <c r="R231" s="20"/>
    </row>
    <row r="232" spans="10:18" ht="12.75">
      <c r="J232" s="20"/>
      <c r="K232" s="20"/>
      <c r="L232" s="20"/>
      <c r="M232" s="20"/>
      <c r="N232" s="20"/>
      <c r="O232" s="20"/>
      <c r="P232" s="20"/>
      <c r="Q232" s="20"/>
      <c r="R232" s="20"/>
    </row>
    <row r="233" spans="10:18" ht="12.75">
      <c r="J233" s="20"/>
      <c r="K233" s="20"/>
      <c r="L233" s="20"/>
      <c r="M233" s="20"/>
      <c r="N233" s="20"/>
      <c r="O233" s="20"/>
      <c r="P233" s="20"/>
      <c r="Q233" s="20"/>
      <c r="R233" s="20"/>
    </row>
    <row r="234" spans="10:18" ht="12.75">
      <c r="J234" s="20"/>
      <c r="K234" s="20"/>
      <c r="L234" s="20"/>
      <c r="M234" s="20"/>
      <c r="N234" s="20"/>
      <c r="O234" s="20"/>
      <c r="P234" s="20"/>
      <c r="Q234" s="20"/>
      <c r="R234" s="20"/>
    </row>
    <row r="235" spans="10:18" ht="12.75">
      <c r="J235" s="20"/>
      <c r="K235" s="20"/>
      <c r="L235" s="20"/>
      <c r="M235" s="20"/>
      <c r="N235" s="20"/>
      <c r="O235" s="20"/>
      <c r="P235" s="20"/>
      <c r="Q235" s="20"/>
      <c r="R235" s="20"/>
    </row>
    <row r="236" spans="10:18" ht="12.75">
      <c r="J236" s="20"/>
      <c r="K236" s="20"/>
      <c r="L236" s="20"/>
      <c r="M236" s="20"/>
      <c r="N236" s="20"/>
      <c r="O236" s="20"/>
      <c r="P236" s="20"/>
      <c r="Q236" s="20"/>
      <c r="R236" s="20"/>
    </row>
    <row r="237" spans="10:18" ht="12.75">
      <c r="J237" s="20"/>
      <c r="K237" s="20"/>
      <c r="L237" s="20"/>
      <c r="M237" s="20"/>
      <c r="N237" s="20"/>
      <c r="O237" s="20"/>
      <c r="P237" s="20"/>
      <c r="Q237" s="20"/>
      <c r="R237" s="20"/>
    </row>
    <row r="238" spans="10:18" ht="12.75">
      <c r="J238" s="20"/>
      <c r="K238" s="20"/>
      <c r="L238" s="20"/>
      <c r="M238" s="20"/>
      <c r="N238" s="20"/>
      <c r="O238" s="20"/>
      <c r="P238" s="20"/>
      <c r="Q238" s="20"/>
      <c r="R238" s="20"/>
    </row>
    <row r="239" spans="10:18" ht="12.75">
      <c r="J239" s="20"/>
      <c r="K239" s="20"/>
      <c r="L239" s="20"/>
      <c r="M239" s="20"/>
      <c r="N239" s="20"/>
      <c r="O239" s="20"/>
      <c r="P239" s="20"/>
      <c r="Q239" s="20"/>
      <c r="R239" s="20"/>
    </row>
    <row r="240" spans="10:18" ht="12.75">
      <c r="J240" s="20"/>
      <c r="K240" s="20"/>
      <c r="L240" s="20"/>
      <c r="M240" s="20"/>
      <c r="N240" s="20"/>
      <c r="O240" s="20"/>
      <c r="P240" s="20"/>
      <c r="Q240" s="20"/>
      <c r="R240" s="20"/>
    </row>
    <row r="241" spans="10:18" ht="12.75">
      <c r="J241" s="20"/>
      <c r="K241" s="20"/>
      <c r="L241" s="20"/>
      <c r="M241" s="20"/>
      <c r="N241" s="20"/>
      <c r="O241" s="20"/>
      <c r="P241" s="20"/>
      <c r="Q241" s="20"/>
      <c r="R241" s="20"/>
    </row>
    <row r="242" spans="10:18" ht="12.75">
      <c r="J242" s="20"/>
      <c r="K242" s="20"/>
      <c r="L242" s="20"/>
      <c r="M242" s="20"/>
      <c r="N242" s="20"/>
      <c r="O242" s="20"/>
      <c r="P242" s="20"/>
      <c r="Q242" s="20"/>
      <c r="R242" s="20"/>
    </row>
    <row r="243" spans="10:18" ht="12.75">
      <c r="J243" s="20"/>
      <c r="K243" s="20"/>
      <c r="L243" s="20"/>
      <c r="M243" s="20"/>
      <c r="N243" s="20"/>
      <c r="O243" s="20"/>
      <c r="P243" s="20"/>
      <c r="Q243" s="20"/>
      <c r="R243" s="20"/>
    </row>
    <row r="244" spans="10:18" ht="12.75">
      <c r="J244" s="20"/>
      <c r="K244" s="20"/>
      <c r="L244" s="20"/>
      <c r="M244" s="20"/>
      <c r="N244" s="20"/>
      <c r="O244" s="20"/>
      <c r="P244" s="20"/>
      <c r="Q244" s="20"/>
      <c r="R244" s="20"/>
    </row>
    <row r="245" spans="10:18" ht="12.75">
      <c r="J245" s="20"/>
      <c r="K245" s="20"/>
      <c r="L245" s="20"/>
      <c r="M245" s="20"/>
      <c r="N245" s="20"/>
      <c r="O245" s="20"/>
      <c r="P245" s="20"/>
      <c r="Q245" s="20"/>
      <c r="R245" s="20"/>
    </row>
  </sheetData>
  <sheetProtection/>
  <mergeCells count="39">
    <mergeCell ref="E156:I156"/>
    <mergeCell ref="P138:R138"/>
    <mergeCell ref="M138:O138"/>
    <mergeCell ref="E150:I150"/>
    <mergeCell ref="E151:I151"/>
    <mergeCell ref="E138:I139"/>
    <mergeCell ref="E143:I143"/>
    <mergeCell ref="E144:I144"/>
    <mergeCell ref="E145:I145"/>
    <mergeCell ref="E146:I146"/>
    <mergeCell ref="A1:I1"/>
    <mergeCell ref="E141:I141"/>
    <mergeCell ref="E142:I142"/>
    <mergeCell ref="E140:I140"/>
    <mergeCell ref="A72:E72"/>
    <mergeCell ref="H118:I118"/>
    <mergeCell ref="A19:I19"/>
    <mergeCell ref="A20:I20"/>
    <mergeCell ref="A94:G94"/>
    <mergeCell ref="A98:G98"/>
    <mergeCell ref="A34:I34"/>
    <mergeCell ref="A157:B157"/>
    <mergeCell ref="H130:I130"/>
    <mergeCell ref="A90:D90"/>
    <mergeCell ref="B118:C118"/>
    <mergeCell ref="D118:E118"/>
    <mergeCell ref="F118:G118"/>
    <mergeCell ref="B130:C130"/>
    <mergeCell ref="D130:E130"/>
    <mergeCell ref="F130:G130"/>
    <mergeCell ref="J136:R136"/>
    <mergeCell ref="E153:I153"/>
    <mergeCell ref="E154:I154"/>
    <mergeCell ref="E155:I155"/>
    <mergeCell ref="J138:L138"/>
    <mergeCell ref="E152:I152"/>
    <mergeCell ref="E147:I147"/>
    <mergeCell ref="E148:I148"/>
    <mergeCell ref="E149:I149"/>
  </mergeCells>
  <printOptions/>
  <pageMargins left="0.5" right="0.5" top="0.5" bottom="0.25" header="0.5" footer="0.25"/>
  <pageSetup horizontalDpi="600" verticalDpi="600" orientation="landscape" scale="99" r:id="rId1"/>
  <headerFooter alignWithMargins="0">
    <oddFooter>&amp;CPage &amp;P of &amp;N</oddFooter>
  </headerFooter>
  <rowBreaks count="4" manualBreakCount="4">
    <brk id="39" max="255" man="1"/>
    <brk id="75" max="255" man="1"/>
    <brk id="101" max="8" man="1"/>
    <brk id="137" max="255" man="1"/>
  </rowBreaks>
</worksheet>
</file>

<file path=xl/worksheets/sheet5.xml><?xml version="1.0" encoding="utf-8"?>
<worksheet xmlns="http://schemas.openxmlformats.org/spreadsheetml/2006/main" xmlns:r="http://schemas.openxmlformats.org/officeDocument/2006/relationships">
  <sheetPr codeName="Sheet5"/>
  <dimension ref="A1:I154"/>
  <sheetViews>
    <sheetView workbookViewId="0" topLeftCell="A25">
      <selection activeCell="G39" sqref="G39:G40"/>
    </sheetView>
  </sheetViews>
  <sheetFormatPr defaultColWidth="9.140625" defaultRowHeight="12.75"/>
  <cols>
    <col min="1" max="1" width="21.421875" style="0" customWidth="1"/>
    <col min="2" max="2" width="10.140625" style="0" customWidth="1"/>
    <col min="3" max="3" width="13.7109375" style="0" customWidth="1"/>
    <col min="4" max="4" width="10.8515625" style="0" customWidth="1"/>
    <col min="5" max="5" width="12.8515625" style="0" customWidth="1"/>
    <col min="6" max="6" width="16.421875" style="0" customWidth="1"/>
    <col min="7" max="7" width="13.28125" style="0" customWidth="1"/>
    <col min="8" max="8" width="12.8515625" style="0" customWidth="1"/>
    <col min="9" max="9" width="12.28125" style="0" customWidth="1"/>
  </cols>
  <sheetData>
    <row r="1" spans="1:9" ht="24" customHeight="1">
      <c r="A1" s="833" t="s">
        <v>410</v>
      </c>
      <c r="B1" s="834"/>
      <c r="C1" s="834"/>
      <c r="D1" s="834"/>
      <c r="E1" s="834"/>
      <c r="F1" s="834"/>
      <c r="G1" s="834"/>
      <c r="H1" s="834"/>
      <c r="I1" s="767"/>
    </row>
    <row r="2" ht="15.75">
      <c r="A2" s="342" t="s">
        <v>135</v>
      </c>
    </row>
    <row r="3" spans="1:5" ht="14.25" customHeight="1">
      <c r="A3" s="1" t="s">
        <v>438</v>
      </c>
      <c r="B3" s="20"/>
      <c r="C3" s="20"/>
      <c r="D3" s="20"/>
      <c r="E3" s="20"/>
    </row>
    <row r="4" spans="2:5" ht="12.75">
      <c r="B4" s="20"/>
      <c r="C4" s="20"/>
      <c r="D4" s="20"/>
      <c r="E4" s="20"/>
    </row>
    <row r="5" spans="1:5" ht="13.5" thickBot="1">
      <c r="A5" s="238"/>
      <c r="B5" s="20"/>
      <c r="C5" s="20"/>
      <c r="D5" s="20"/>
      <c r="E5" s="20"/>
    </row>
    <row r="6" spans="1:9" ht="12.75">
      <c r="A6" s="261" t="s">
        <v>84</v>
      </c>
      <c r="B6" s="262"/>
      <c r="C6" s="262"/>
      <c r="D6" s="262"/>
      <c r="E6" s="195"/>
      <c r="F6" s="155"/>
      <c r="G6" s="155"/>
      <c r="H6" s="155"/>
      <c r="I6" s="156"/>
    </row>
    <row r="7" spans="1:9" ht="8.25" customHeight="1">
      <c r="A7" s="263"/>
      <c r="B7" s="42"/>
      <c r="C7" s="42"/>
      <c r="D7" s="42"/>
      <c r="E7" s="42"/>
      <c r="F7" s="127"/>
      <c r="G7" s="127"/>
      <c r="H7" s="127"/>
      <c r="I7" s="264"/>
    </row>
    <row r="8" spans="1:9" ht="51" customHeight="1">
      <c r="A8" s="265" t="s">
        <v>328</v>
      </c>
      <c r="B8" s="41" t="s">
        <v>232</v>
      </c>
      <c r="C8" s="41" t="s">
        <v>85</v>
      </c>
      <c r="D8" s="42"/>
      <c r="E8" s="42"/>
      <c r="F8" s="127"/>
      <c r="G8" s="259"/>
      <c r="H8" s="127"/>
      <c r="I8" s="264"/>
    </row>
    <row r="9" spans="1:9" ht="12.75">
      <c r="A9" s="266">
        <v>2001</v>
      </c>
      <c r="B9" s="441">
        <v>7</v>
      </c>
      <c r="C9" s="95"/>
      <c r="D9" s="42"/>
      <c r="E9" s="42"/>
      <c r="F9" s="127"/>
      <c r="G9" s="259"/>
      <c r="H9" s="127"/>
      <c r="I9" s="264"/>
    </row>
    <row r="10" spans="1:9" ht="12.75">
      <c r="A10" s="266">
        <v>2002</v>
      </c>
      <c r="B10" s="441">
        <v>6</v>
      </c>
      <c r="C10" s="95"/>
      <c r="D10" s="42"/>
      <c r="E10" s="42"/>
      <c r="F10" s="127"/>
      <c r="G10" s="259"/>
      <c r="H10" s="127"/>
      <c r="I10" s="264"/>
    </row>
    <row r="11" spans="1:9" ht="12.75">
      <c r="A11" s="266">
        <v>2003</v>
      </c>
      <c r="B11" s="441">
        <v>11</v>
      </c>
      <c r="C11" s="95"/>
      <c r="D11" s="42"/>
      <c r="E11" s="42"/>
      <c r="F11" s="127"/>
      <c r="G11" s="259"/>
      <c r="H11" s="127"/>
      <c r="I11" s="264"/>
    </row>
    <row r="12" spans="1:9" ht="12.75">
      <c r="A12" s="266">
        <v>2004</v>
      </c>
      <c r="B12" s="441">
        <v>6</v>
      </c>
      <c r="C12" s="95"/>
      <c r="D12" s="42"/>
      <c r="E12" s="42"/>
      <c r="F12" s="127"/>
      <c r="G12" s="259"/>
      <c r="H12" s="127"/>
      <c r="I12" s="264"/>
    </row>
    <row r="13" spans="1:9" ht="12.75">
      <c r="A13" s="266" t="s">
        <v>367</v>
      </c>
      <c r="B13" s="441">
        <v>5</v>
      </c>
      <c r="C13" s="94">
        <f>AVERAGE(B9:B13)</f>
        <v>7</v>
      </c>
      <c r="D13" s="42"/>
      <c r="E13" s="42"/>
      <c r="F13" s="127"/>
      <c r="G13" s="259"/>
      <c r="H13" s="127"/>
      <c r="I13" s="264"/>
    </row>
    <row r="14" spans="1:9" ht="12.75">
      <c r="A14" s="266" t="s">
        <v>333</v>
      </c>
      <c r="B14" s="441">
        <f>SUM(C13)</f>
        <v>7</v>
      </c>
      <c r="C14" s="95"/>
      <c r="D14" s="42"/>
      <c r="E14" s="42"/>
      <c r="F14" s="127"/>
      <c r="G14" s="259"/>
      <c r="H14" s="127"/>
      <c r="I14" s="264"/>
    </row>
    <row r="15" spans="1:9" ht="12.75">
      <c r="A15" s="266" t="s">
        <v>334</v>
      </c>
      <c r="B15" s="441">
        <f>SUM(C13)</f>
        <v>7</v>
      </c>
      <c r="C15" s="95"/>
      <c r="D15" s="42"/>
      <c r="E15" s="42"/>
      <c r="F15" s="127"/>
      <c r="G15" s="259"/>
      <c r="H15" s="127"/>
      <c r="I15" s="264"/>
    </row>
    <row r="16" spans="1:9" ht="12.75">
      <c r="A16" s="267"/>
      <c r="B16" s="44"/>
      <c r="C16" s="44"/>
      <c r="D16" s="44"/>
      <c r="E16" s="43"/>
      <c r="F16" s="259"/>
      <c r="G16" s="259"/>
      <c r="H16" s="127"/>
      <c r="I16" s="264"/>
    </row>
    <row r="17" spans="1:9" ht="12.75">
      <c r="A17" s="268" t="s">
        <v>317</v>
      </c>
      <c r="B17" s="44"/>
      <c r="C17" s="44"/>
      <c r="D17" s="44"/>
      <c r="E17" s="44"/>
      <c r="F17" s="259"/>
      <c r="G17" s="259"/>
      <c r="H17" s="127"/>
      <c r="I17" s="264"/>
    </row>
    <row r="18" spans="1:9" ht="12.75">
      <c r="A18" s="269" t="s">
        <v>86</v>
      </c>
      <c r="B18" s="45"/>
      <c r="C18" s="45"/>
      <c r="D18" s="45"/>
      <c r="E18" s="45"/>
      <c r="F18" s="260"/>
      <c r="G18" s="260"/>
      <c r="H18" s="260"/>
      <c r="I18" s="270"/>
    </row>
    <row r="19" spans="1:9" ht="12.75">
      <c r="A19" s="269" t="s">
        <v>369</v>
      </c>
      <c r="B19" s="45"/>
      <c r="C19" s="45"/>
      <c r="D19" s="45"/>
      <c r="E19" s="45"/>
      <c r="F19" s="260"/>
      <c r="G19" s="260"/>
      <c r="H19" s="260"/>
      <c r="I19" s="264"/>
    </row>
    <row r="20" spans="1:9" ht="27" customHeight="1" thickBot="1">
      <c r="A20" s="885" t="s">
        <v>128</v>
      </c>
      <c r="B20" s="886"/>
      <c r="C20" s="886"/>
      <c r="D20" s="886"/>
      <c r="E20" s="886"/>
      <c r="F20" s="849"/>
      <c r="G20" s="849"/>
      <c r="H20" s="849"/>
      <c r="I20" s="850"/>
    </row>
    <row r="21" spans="1:9" ht="15.75" customHeight="1">
      <c r="A21" s="288"/>
      <c r="B21" s="289"/>
      <c r="C21" s="289"/>
      <c r="D21" s="289"/>
      <c r="E21" s="289"/>
      <c r="F21" s="135"/>
      <c r="G21" s="135"/>
      <c r="H21" s="135"/>
      <c r="I21" s="135"/>
    </row>
    <row r="22" spans="1:9" ht="15.75" customHeight="1">
      <c r="A22" s="288"/>
      <c r="B22" s="289"/>
      <c r="C22" s="289"/>
      <c r="D22" s="289"/>
      <c r="E22" s="289"/>
      <c r="F22" s="135"/>
      <c r="G22" s="135"/>
      <c r="H22" s="135"/>
      <c r="I22" s="135"/>
    </row>
    <row r="23" spans="2:7" ht="13.5" thickBot="1">
      <c r="B23" s="4"/>
      <c r="C23" s="4"/>
      <c r="D23" s="4"/>
      <c r="E23" s="4"/>
      <c r="F23" s="4"/>
      <c r="G23" s="4"/>
    </row>
    <row r="24" spans="1:9" ht="12.75">
      <c r="A24" s="271" t="s">
        <v>87</v>
      </c>
      <c r="B24" s="272"/>
      <c r="C24" s="272"/>
      <c r="D24" s="272"/>
      <c r="E24" s="272"/>
      <c r="F24" s="272"/>
      <c r="G24" s="272"/>
      <c r="H24" s="272"/>
      <c r="I24" s="273"/>
    </row>
    <row r="25" spans="1:9" ht="12.75">
      <c r="A25" s="274"/>
      <c r="B25" s="57" t="s">
        <v>117</v>
      </c>
      <c r="C25" s="183"/>
      <c r="D25" s="183"/>
      <c r="E25" s="183"/>
      <c r="F25" s="275"/>
      <c r="G25" s="276"/>
      <c r="H25" s="20"/>
      <c r="I25" s="277"/>
    </row>
    <row r="26" spans="1:9" ht="12.75">
      <c r="A26" s="278" t="s">
        <v>350</v>
      </c>
      <c r="B26" s="57" t="s">
        <v>118</v>
      </c>
      <c r="C26" s="49" t="s">
        <v>89</v>
      </c>
      <c r="D26" s="49" t="s">
        <v>90</v>
      </c>
      <c r="E26" s="57" t="s">
        <v>400</v>
      </c>
      <c r="F26" s="279"/>
      <c r="G26" s="279"/>
      <c r="H26" s="127"/>
      <c r="I26" s="280"/>
    </row>
    <row r="27" spans="1:9" ht="12.75">
      <c r="A27" s="281"/>
      <c r="B27" s="57" t="s">
        <v>401</v>
      </c>
      <c r="C27" s="49" t="s">
        <v>371</v>
      </c>
      <c r="D27" s="49" t="s">
        <v>91</v>
      </c>
      <c r="E27" s="49" t="s">
        <v>92</v>
      </c>
      <c r="F27" s="279"/>
      <c r="G27" s="279"/>
      <c r="H27" s="127"/>
      <c r="I27" s="280"/>
    </row>
    <row r="28" spans="1:9" ht="12.75">
      <c r="A28" s="282" t="s">
        <v>370</v>
      </c>
      <c r="B28" s="96">
        <v>249</v>
      </c>
      <c r="C28" s="93">
        <v>33</v>
      </c>
      <c r="D28" s="96">
        <v>110</v>
      </c>
      <c r="E28" s="96">
        <v>106</v>
      </c>
      <c r="F28" s="283"/>
      <c r="G28" s="283"/>
      <c r="H28" s="127"/>
      <c r="I28" s="280"/>
    </row>
    <row r="29" spans="1:9" ht="12.75">
      <c r="A29" s="284" t="s">
        <v>387</v>
      </c>
      <c r="B29" s="96">
        <f>SUM(B28+B14)</f>
        <v>256</v>
      </c>
      <c r="C29" s="93">
        <f>SUM((1-B142)*C28+B14)</f>
        <v>23.5</v>
      </c>
      <c r="D29" s="96">
        <f>SUM(B29-C29-E29)</f>
        <v>89.83333333333334</v>
      </c>
      <c r="E29" s="96">
        <f>SUM(1/B141*D28+E28)</f>
        <v>142.66666666666666</v>
      </c>
      <c r="F29" s="285"/>
      <c r="G29" s="285"/>
      <c r="H29" s="127"/>
      <c r="I29" s="280"/>
    </row>
    <row r="30" spans="1:9" ht="12.75">
      <c r="A30" s="284" t="s">
        <v>388</v>
      </c>
      <c r="B30" s="96">
        <f>SUM(B29+B15)</f>
        <v>263</v>
      </c>
      <c r="C30" s="93">
        <f>SUM((1-B142)*C29+B15)</f>
        <v>18.75</v>
      </c>
      <c r="D30" s="96">
        <f>SUM(B30-C30-E30)</f>
        <v>88.75</v>
      </c>
      <c r="E30" s="96">
        <f>SUM(1/B140*D29+E29)</f>
        <v>155.5</v>
      </c>
      <c r="F30" s="62"/>
      <c r="G30" s="62"/>
      <c r="H30" s="50"/>
      <c r="I30" s="280"/>
    </row>
    <row r="31" spans="1:9" ht="12.75">
      <c r="A31" s="284"/>
      <c r="B31" s="239"/>
      <c r="C31" s="240"/>
      <c r="D31" s="239"/>
      <c r="E31" s="239"/>
      <c r="F31" s="50"/>
      <c r="G31" s="50"/>
      <c r="H31" s="50"/>
      <c r="I31" s="280"/>
    </row>
    <row r="32" spans="1:9" ht="12.75">
      <c r="A32" s="286" t="s">
        <v>330</v>
      </c>
      <c r="B32" s="50"/>
      <c r="C32" s="50"/>
      <c r="D32" s="50"/>
      <c r="E32" s="50"/>
      <c r="F32" s="50"/>
      <c r="G32" s="50"/>
      <c r="H32" s="50"/>
      <c r="I32" s="280"/>
    </row>
    <row r="33" spans="1:9" ht="14.25" customHeight="1">
      <c r="A33" s="887" t="s">
        <v>114</v>
      </c>
      <c r="B33" s="823"/>
      <c r="C33" s="823"/>
      <c r="D33" s="823"/>
      <c r="E33" s="823"/>
      <c r="F33" s="823"/>
      <c r="G33" s="823"/>
      <c r="H33" s="823"/>
      <c r="I33" s="824"/>
    </row>
    <row r="34" spans="1:9" ht="12.75">
      <c r="A34" s="287" t="s">
        <v>391</v>
      </c>
      <c r="B34" s="50"/>
      <c r="C34" s="50"/>
      <c r="D34" s="50"/>
      <c r="E34" s="50"/>
      <c r="F34" s="50"/>
      <c r="G34" s="50"/>
      <c r="H34" s="50"/>
      <c r="I34" s="280"/>
    </row>
    <row r="35" spans="1:9" ht="15" customHeight="1">
      <c r="A35" s="887" t="s">
        <v>93</v>
      </c>
      <c r="B35" s="823"/>
      <c r="C35" s="823"/>
      <c r="D35" s="823"/>
      <c r="E35" s="823"/>
      <c r="F35" s="823"/>
      <c r="G35" s="823"/>
      <c r="H35" s="823"/>
      <c r="I35" s="824"/>
    </row>
    <row r="36" spans="1:9" ht="12.75" customHeight="1" thickBot="1">
      <c r="A36" s="889" t="s">
        <v>127</v>
      </c>
      <c r="B36" s="849"/>
      <c r="C36" s="849"/>
      <c r="D36" s="849"/>
      <c r="E36" s="849"/>
      <c r="F36" s="849"/>
      <c r="G36" s="849"/>
      <c r="H36" s="849"/>
      <c r="I36" s="850"/>
    </row>
    <row r="37" spans="1:9" ht="15" customHeight="1">
      <c r="A37" s="257"/>
      <c r="B37" s="4"/>
      <c r="C37" s="4"/>
      <c r="D37" s="4"/>
      <c r="E37" s="4"/>
      <c r="F37" s="4"/>
      <c r="G37" s="4"/>
      <c r="H37" s="4"/>
      <c r="I37" s="4"/>
    </row>
    <row r="38" spans="1:9" ht="10.5" customHeight="1" thickBot="1">
      <c r="A38" s="4"/>
      <c r="B38" s="4"/>
      <c r="C38" s="4"/>
      <c r="D38" s="4"/>
      <c r="F38" s="714" t="s">
        <v>364</v>
      </c>
      <c r="G38" s="2"/>
      <c r="H38" s="2"/>
      <c r="I38" s="2"/>
    </row>
    <row r="39" spans="1:9" ht="12.75">
      <c r="A39" s="261" t="s">
        <v>94</v>
      </c>
      <c r="B39" s="195"/>
      <c r="C39" s="195"/>
      <c r="D39" s="195"/>
      <c r="E39" s="195"/>
      <c r="F39" s="195"/>
      <c r="G39" s="195"/>
      <c r="H39" s="155"/>
      <c r="I39" s="156"/>
    </row>
    <row r="40" spans="1:9" ht="15">
      <c r="A40" s="290"/>
      <c r="B40" s="19"/>
      <c r="C40" s="19"/>
      <c r="D40" s="19"/>
      <c r="E40" s="19"/>
      <c r="F40" s="19"/>
      <c r="G40" s="19"/>
      <c r="H40" s="20"/>
      <c r="I40" s="157"/>
    </row>
    <row r="41" spans="1:9" ht="48">
      <c r="A41" s="265" t="s">
        <v>328</v>
      </c>
      <c r="B41" s="41" t="s">
        <v>397</v>
      </c>
      <c r="C41" s="41" t="s">
        <v>329</v>
      </c>
      <c r="D41" s="41" t="s">
        <v>95</v>
      </c>
      <c r="E41" s="41" t="s">
        <v>96</v>
      </c>
      <c r="F41" s="41" t="s">
        <v>97</v>
      </c>
      <c r="G41" s="127"/>
      <c r="H41" s="20"/>
      <c r="I41" s="157"/>
    </row>
    <row r="42" spans="1:9" ht="12.75">
      <c r="A42" s="291">
        <v>2008</v>
      </c>
      <c r="B42" s="53">
        <f>SUM(B30+C42)</f>
        <v>270</v>
      </c>
      <c r="C42" s="53">
        <f>SUM(C13)</f>
        <v>7</v>
      </c>
      <c r="D42" s="241">
        <f>SUM(C30*(1-B142)+C42)</f>
        <v>16.375</v>
      </c>
      <c r="E42" s="53">
        <f aca="true" t="shared" si="0" ref="E42:E64">SUM(B42+C42-D42-F42)</f>
        <v>75.54166666666666</v>
      </c>
      <c r="F42" s="53">
        <f>SUM(1/B141*D30+E30)</f>
        <v>185.08333333333334</v>
      </c>
      <c r="G42" s="127"/>
      <c r="H42" s="20"/>
      <c r="I42" s="157"/>
    </row>
    <row r="43" spans="1:9" ht="12.75">
      <c r="A43" s="291">
        <v>2009</v>
      </c>
      <c r="B43" s="53">
        <f>SUM(B42+C43)</f>
        <v>277</v>
      </c>
      <c r="C43" s="53">
        <v>7</v>
      </c>
      <c r="D43" s="241">
        <f>SUM(D42*(1-B142)+C43)</f>
        <v>15.1875</v>
      </c>
      <c r="E43" s="53">
        <f t="shared" si="0"/>
        <v>58.548611111111114</v>
      </c>
      <c r="F43" s="53">
        <f>SUM(1/B141*E42)+F42</f>
        <v>210.26388888888889</v>
      </c>
      <c r="G43" s="127"/>
      <c r="H43" s="20"/>
      <c r="I43" s="157"/>
    </row>
    <row r="44" spans="1:9" ht="12.75">
      <c r="A44" s="291">
        <v>2010</v>
      </c>
      <c r="B44" s="53">
        <f>SUM(B43+C44)</f>
        <v>284</v>
      </c>
      <c r="C44" s="53">
        <v>7</v>
      </c>
      <c r="D44" s="241">
        <f>SUM(D43*(1-B142)+C44)</f>
        <v>14.59375</v>
      </c>
      <c r="E44" s="53">
        <f t="shared" si="0"/>
        <v>46.62615740740742</v>
      </c>
      <c r="F44" s="53">
        <f>SUM(1/B141*E43)+F43</f>
        <v>229.78009259259258</v>
      </c>
      <c r="G44" s="127"/>
      <c r="H44" s="20"/>
      <c r="I44" s="157"/>
    </row>
    <row r="45" spans="1:9" ht="12.75">
      <c r="A45" s="291">
        <v>2011</v>
      </c>
      <c r="B45" s="53">
        <f aca="true" t="shared" si="1" ref="B45:B64">SUM(B44+C45)</f>
        <v>291</v>
      </c>
      <c r="C45" s="53">
        <v>7</v>
      </c>
      <c r="D45" s="241">
        <f>SUM(D44*(1-B142)+C45)</f>
        <v>14.296875</v>
      </c>
      <c r="E45" s="53">
        <f t="shared" si="0"/>
        <v>38.38097993827162</v>
      </c>
      <c r="F45" s="53">
        <f>SUM(1/B141*E44)+F44</f>
        <v>245.32214506172838</v>
      </c>
      <c r="G45" s="127"/>
      <c r="H45" s="20"/>
      <c r="I45" s="157"/>
    </row>
    <row r="46" spans="1:9" ht="12.75">
      <c r="A46" s="291">
        <v>2012</v>
      </c>
      <c r="B46" s="53">
        <f t="shared" si="1"/>
        <v>298</v>
      </c>
      <c r="C46" s="53">
        <v>7</v>
      </c>
      <c r="D46" s="241">
        <f>SUM(D45*(1-B142)+C46)</f>
        <v>14.1484375</v>
      </c>
      <c r="E46" s="53">
        <f t="shared" si="0"/>
        <v>32.73575745884773</v>
      </c>
      <c r="F46" s="53">
        <f>SUM(1/B141*E45)+F45</f>
        <v>258.11580504115227</v>
      </c>
      <c r="G46" s="127"/>
      <c r="H46" s="20"/>
      <c r="I46" s="157"/>
    </row>
    <row r="47" spans="1:9" ht="12.75">
      <c r="A47" s="291">
        <v>2013</v>
      </c>
      <c r="B47" s="53">
        <f t="shared" si="1"/>
        <v>305</v>
      </c>
      <c r="C47" s="53">
        <v>7</v>
      </c>
      <c r="D47" s="241">
        <f>SUM(D46*(1-B142)+C47)</f>
        <v>14.07421875</v>
      </c>
      <c r="E47" s="53">
        <f t="shared" si="0"/>
        <v>28.898057055898505</v>
      </c>
      <c r="F47" s="53">
        <f>SUM(1/B141*E46)+F46</f>
        <v>269.0277241941015</v>
      </c>
      <c r="G47" s="127"/>
      <c r="H47" s="20"/>
      <c r="I47" s="157"/>
    </row>
    <row r="48" spans="1:9" ht="12.75">
      <c r="A48" s="291">
        <v>2014</v>
      </c>
      <c r="B48" s="53">
        <f t="shared" si="1"/>
        <v>312</v>
      </c>
      <c r="C48" s="53">
        <v>7</v>
      </c>
      <c r="D48" s="241">
        <f>SUM(D47*(1-B142)+C48)</f>
        <v>14.037109375</v>
      </c>
      <c r="E48" s="53">
        <f t="shared" si="0"/>
        <v>26.302480745598984</v>
      </c>
      <c r="F48" s="53">
        <f>SUM(1/B141*E47)+F47</f>
        <v>278.660409879401</v>
      </c>
      <c r="G48" s="127"/>
      <c r="H48" s="20"/>
      <c r="I48" s="157"/>
    </row>
    <row r="49" spans="1:9" ht="12.75">
      <c r="A49" s="291">
        <v>2015</v>
      </c>
      <c r="B49" s="53">
        <f t="shared" si="1"/>
        <v>319</v>
      </c>
      <c r="C49" s="53">
        <v>7</v>
      </c>
      <c r="D49" s="241">
        <f>SUM(D48*(1-B142)+C49)</f>
        <v>14.0185546875</v>
      </c>
      <c r="E49" s="53">
        <f t="shared" si="0"/>
        <v>24.553541851232637</v>
      </c>
      <c r="F49" s="53">
        <f>SUM(1/B141*E48)+F48</f>
        <v>287.42790346126736</v>
      </c>
      <c r="G49" s="127"/>
      <c r="H49" s="20"/>
      <c r="I49" s="157"/>
    </row>
    <row r="50" spans="1:9" ht="12.75">
      <c r="A50" s="291">
        <v>2016</v>
      </c>
      <c r="B50" s="53">
        <f t="shared" si="1"/>
        <v>326</v>
      </c>
      <c r="C50" s="53">
        <v>7</v>
      </c>
      <c r="D50" s="241">
        <f>SUM(D49*(1-B142)+C50)</f>
        <v>14.00927734375</v>
      </c>
      <c r="E50" s="53">
        <f t="shared" si="0"/>
        <v>23.378305244571777</v>
      </c>
      <c r="F50" s="53">
        <f>SUM(1/B141*E49)+F49</f>
        <v>295.6124174116782</v>
      </c>
      <c r="G50" s="127"/>
      <c r="H50" s="20"/>
      <c r="I50" s="157"/>
    </row>
    <row r="51" spans="1:9" ht="12.75">
      <c r="A51" s="291">
        <v>2017</v>
      </c>
      <c r="B51" s="53">
        <f t="shared" si="1"/>
        <v>333</v>
      </c>
      <c r="C51" s="53">
        <v>7</v>
      </c>
      <c r="D51" s="241">
        <f>SUM(D50*(1-B142)+C51)</f>
        <v>14.004638671875</v>
      </c>
      <c r="E51" s="53">
        <f t="shared" si="0"/>
        <v>22.5901755015895</v>
      </c>
      <c r="F51" s="53">
        <f>SUM(1/B141*E50)+F50</f>
        <v>303.4051858265355</v>
      </c>
      <c r="G51" s="127"/>
      <c r="H51" s="20"/>
      <c r="I51" s="157"/>
    </row>
    <row r="52" spans="1:9" ht="12.75">
      <c r="A52" s="291">
        <v>2018</v>
      </c>
      <c r="B52" s="53">
        <f t="shared" si="1"/>
        <v>340</v>
      </c>
      <c r="C52" s="53">
        <v>7</v>
      </c>
      <c r="D52" s="241">
        <f>SUM(D51*(1-B142)+C52)</f>
        <v>14.0023193359375</v>
      </c>
      <c r="E52" s="53">
        <f t="shared" si="0"/>
        <v>22.062436336997166</v>
      </c>
      <c r="F52" s="53">
        <f>SUM(1/B141*E51)+F51</f>
        <v>310.93524432706533</v>
      </c>
      <c r="G52" s="127"/>
      <c r="H52" s="20"/>
      <c r="I52" s="157"/>
    </row>
    <row r="53" spans="1:9" ht="12.75">
      <c r="A53" s="291">
        <v>2019</v>
      </c>
      <c r="B53" s="53">
        <f t="shared" si="1"/>
        <v>347</v>
      </c>
      <c r="C53" s="53">
        <v>7</v>
      </c>
      <c r="D53" s="241">
        <f>SUM(D52*(1-B142)+C53)</f>
        <v>14.00115966796875</v>
      </c>
      <c r="E53" s="53">
        <f t="shared" si="0"/>
        <v>21.709450559300194</v>
      </c>
      <c r="F53" s="53">
        <f>SUM(1/B141*E52)+F52</f>
        <v>318.28938977273106</v>
      </c>
      <c r="G53" s="127"/>
      <c r="H53" s="20"/>
      <c r="I53" s="157"/>
    </row>
    <row r="54" spans="1:9" ht="12.75">
      <c r="A54" s="291">
        <v>2020</v>
      </c>
      <c r="B54" s="53">
        <f t="shared" si="1"/>
        <v>354</v>
      </c>
      <c r="C54" s="53">
        <v>7</v>
      </c>
      <c r="D54" s="241">
        <f>SUM(D53*(1-B142)+C54)</f>
        <v>14.000579833984375</v>
      </c>
      <c r="E54" s="53">
        <f t="shared" si="0"/>
        <v>21.47354687351782</v>
      </c>
      <c r="F54" s="53">
        <f>SUM(1/B141*E53)+F53</f>
        <v>325.5258732924978</v>
      </c>
      <c r="G54" s="127"/>
      <c r="H54" s="20"/>
      <c r="I54" s="157"/>
    </row>
    <row r="55" spans="1:9" ht="12.75">
      <c r="A55" s="291">
        <v>2021</v>
      </c>
      <c r="B55" s="53">
        <f t="shared" si="1"/>
        <v>361</v>
      </c>
      <c r="C55" s="53">
        <v>7</v>
      </c>
      <c r="D55" s="241">
        <f>SUM(D54*(1-B142)+C55)</f>
        <v>14.000289916992188</v>
      </c>
      <c r="E55" s="53">
        <f t="shared" si="0"/>
        <v>21.315987832670714</v>
      </c>
      <c r="F55" s="53">
        <f>SUM(1/B141*E54)+F54</f>
        <v>332.6837222503371</v>
      </c>
      <c r="G55" s="127"/>
      <c r="H55" s="20"/>
      <c r="I55" s="157"/>
    </row>
    <row r="56" spans="1:9" ht="12.75">
      <c r="A56" s="291">
        <v>2022</v>
      </c>
      <c r="B56" s="53">
        <f t="shared" si="1"/>
        <v>368</v>
      </c>
      <c r="C56" s="53">
        <v>7</v>
      </c>
      <c r="D56" s="241">
        <f>SUM(D55*(1-B142)+C56)</f>
        <v>14.000144958496094</v>
      </c>
      <c r="E56" s="53">
        <f t="shared" si="0"/>
        <v>21.210803513609903</v>
      </c>
      <c r="F56" s="53">
        <f>SUM(1/B141*E55)+F55</f>
        <v>339.789051527894</v>
      </c>
      <c r="G56" s="127"/>
      <c r="H56" s="20"/>
      <c r="I56" s="157"/>
    </row>
    <row r="57" spans="1:9" ht="12.75">
      <c r="A57" s="291">
        <v>2023</v>
      </c>
      <c r="B57" s="53">
        <f t="shared" si="1"/>
        <v>375</v>
      </c>
      <c r="C57" s="53">
        <v>7</v>
      </c>
      <c r="D57" s="241">
        <f>SUM(D56*(1-B142)+C57)</f>
        <v>14.000072479248047</v>
      </c>
      <c r="E57" s="53">
        <f t="shared" si="0"/>
        <v>21.140608154988</v>
      </c>
      <c r="F57" s="53">
        <f>SUM(1/B141*E56)+F56</f>
        <v>346.85931936576395</v>
      </c>
      <c r="G57" s="127"/>
      <c r="H57" s="20"/>
      <c r="I57" s="157"/>
    </row>
    <row r="58" spans="1:9" ht="12.75">
      <c r="A58" s="291">
        <v>2024</v>
      </c>
      <c r="B58" s="53">
        <f t="shared" si="1"/>
        <v>382</v>
      </c>
      <c r="C58" s="53">
        <v>7</v>
      </c>
      <c r="D58" s="241">
        <f>SUM(D57*(1-B142)+C58)</f>
        <v>14.000036239624023</v>
      </c>
      <c r="E58" s="53">
        <f t="shared" si="0"/>
        <v>21.093775009616024</v>
      </c>
      <c r="F58" s="53">
        <f>SUM(1/B141*E57)+F57</f>
        <v>353.90618875075995</v>
      </c>
      <c r="G58" s="127"/>
      <c r="H58" s="20"/>
      <c r="I58" s="157"/>
    </row>
    <row r="59" spans="1:9" ht="12.75">
      <c r="A59" s="291">
        <v>2025</v>
      </c>
      <c r="B59" s="53">
        <f t="shared" si="1"/>
        <v>389</v>
      </c>
      <c r="C59" s="53">
        <v>7</v>
      </c>
      <c r="D59" s="241">
        <f>SUM(D58*(1-B142)+C59)</f>
        <v>14.000018119812012</v>
      </c>
      <c r="E59" s="53">
        <f t="shared" si="0"/>
        <v>25.984415628466422</v>
      </c>
      <c r="F59" s="53">
        <f>SUM(0.1*E58)+F58</f>
        <v>356.01556625172157</v>
      </c>
      <c r="G59" s="127"/>
      <c r="H59" s="20"/>
      <c r="I59" s="157"/>
    </row>
    <row r="60" spans="1:9" ht="12.75">
      <c r="A60" s="291">
        <v>2026</v>
      </c>
      <c r="B60" s="53">
        <f t="shared" si="1"/>
        <v>396</v>
      </c>
      <c r="C60" s="53">
        <v>7</v>
      </c>
      <c r="D60" s="241">
        <f>SUM(D59*(1-B142)+C60)</f>
        <v>14.000009059906006</v>
      </c>
      <c r="E60" s="53">
        <f t="shared" si="0"/>
        <v>24.322952812216954</v>
      </c>
      <c r="F60" s="53">
        <f>SUM(1/B141*E59)+F59</f>
        <v>364.67703812787704</v>
      </c>
      <c r="G60" s="127"/>
      <c r="H60" s="20"/>
      <c r="I60" s="157"/>
    </row>
    <row r="61" spans="1:9" ht="12.75">
      <c r="A61" s="291">
        <v>2027</v>
      </c>
      <c r="B61" s="53">
        <f t="shared" si="1"/>
        <v>403</v>
      </c>
      <c r="C61" s="53">
        <v>7</v>
      </c>
      <c r="D61" s="241">
        <f>SUM(D60*(1-B142)+C61)</f>
        <v>14.000004529953003</v>
      </c>
      <c r="E61" s="53">
        <f t="shared" si="0"/>
        <v>23.215306404764306</v>
      </c>
      <c r="F61" s="53">
        <f>SUM(1/B141*E60)+F60</f>
        <v>372.7846890652827</v>
      </c>
      <c r="G61" s="127"/>
      <c r="H61" s="20"/>
      <c r="I61" s="157"/>
    </row>
    <row r="62" spans="1:9" ht="12.75">
      <c r="A62" s="291">
        <v>2028</v>
      </c>
      <c r="B62" s="53">
        <f t="shared" si="1"/>
        <v>410</v>
      </c>
      <c r="C62" s="53">
        <v>7</v>
      </c>
      <c r="D62" s="241">
        <f>SUM(D61*(1-B142)+C62)</f>
        <v>14.000002264976501</v>
      </c>
      <c r="E62" s="53">
        <f t="shared" si="0"/>
        <v>22.476873201486057</v>
      </c>
      <c r="F62" s="53">
        <f>SUM(1/B141*E61)+F61</f>
        <v>380.52312453353744</v>
      </c>
      <c r="G62" s="127"/>
      <c r="H62" s="20"/>
      <c r="I62" s="157"/>
    </row>
    <row r="63" spans="1:9" ht="12.75">
      <c r="A63" s="291">
        <v>2029</v>
      </c>
      <c r="B63" s="53">
        <f t="shared" si="1"/>
        <v>417</v>
      </c>
      <c r="C63" s="53">
        <v>7</v>
      </c>
      <c r="D63" s="241">
        <f>SUM(D62*(1-B142)+C63)</f>
        <v>14.00000113248825</v>
      </c>
      <c r="E63" s="53">
        <f t="shared" si="0"/>
        <v>21.984583266812308</v>
      </c>
      <c r="F63" s="53">
        <f>SUM(1/B141*E62)+F62</f>
        <v>388.01541560069944</v>
      </c>
      <c r="G63" s="127"/>
      <c r="H63" s="20"/>
      <c r="I63" s="157"/>
    </row>
    <row r="64" spans="1:9" ht="12.75">
      <c r="A64" s="291">
        <v>2030</v>
      </c>
      <c r="B64" s="53">
        <f t="shared" si="1"/>
        <v>424</v>
      </c>
      <c r="C64" s="53">
        <v>7</v>
      </c>
      <c r="D64" s="241">
        <f>SUM(D63*(1-B142)+C64)</f>
        <v>14.000000566244125</v>
      </c>
      <c r="E64" s="53">
        <f t="shared" si="0"/>
        <v>21.656389410785664</v>
      </c>
      <c r="F64" s="53">
        <f>SUM(1/B141*E63)+F63</f>
        <v>395.3436100229702</v>
      </c>
      <c r="G64" s="127"/>
      <c r="H64" s="20"/>
      <c r="I64" s="157"/>
    </row>
    <row r="65" spans="1:9" ht="12.75">
      <c r="A65" s="292" t="s">
        <v>331</v>
      </c>
      <c r="B65" s="54"/>
      <c r="C65" s="55">
        <f>SUM(C42:C64)</f>
        <v>161</v>
      </c>
      <c r="D65" s="54"/>
      <c r="E65" s="55"/>
      <c r="F65" s="53"/>
      <c r="G65" s="127"/>
      <c r="H65" s="20"/>
      <c r="I65" s="157"/>
    </row>
    <row r="66" spans="1:9" ht="12.75">
      <c r="A66" s="292" t="s">
        <v>332</v>
      </c>
      <c r="B66" s="54"/>
      <c r="C66" s="124">
        <f>AVERAGE(C42:C64)</f>
        <v>7</v>
      </c>
      <c r="D66" s="54"/>
      <c r="E66" s="124">
        <f>AVERAGE(E42:E64)</f>
        <v>29.008820086366406</v>
      </c>
      <c r="F66" s="53"/>
      <c r="G66" s="127"/>
      <c r="H66" s="20"/>
      <c r="I66" s="157"/>
    </row>
    <row r="67" spans="1:9" ht="12.75">
      <c r="A67" s="263"/>
      <c r="B67" s="42"/>
      <c r="C67" s="42"/>
      <c r="D67" s="42"/>
      <c r="E67" s="42"/>
      <c r="F67" s="201"/>
      <c r="G67" s="201"/>
      <c r="H67" s="20"/>
      <c r="I67" s="157"/>
    </row>
    <row r="68" spans="1:9" ht="12.75">
      <c r="A68" s="293" t="s">
        <v>317</v>
      </c>
      <c r="B68" s="42"/>
      <c r="C68" s="42"/>
      <c r="D68" s="42"/>
      <c r="E68" s="42"/>
      <c r="F68" s="201"/>
      <c r="G68" s="201"/>
      <c r="H68" s="20"/>
      <c r="I68" s="157"/>
    </row>
    <row r="69" spans="1:9" ht="24.75" customHeight="1">
      <c r="A69" s="890" t="s">
        <v>98</v>
      </c>
      <c r="B69" s="823"/>
      <c r="C69" s="823"/>
      <c r="D69" s="823"/>
      <c r="E69" s="823"/>
      <c r="F69" s="823"/>
      <c r="G69" s="823"/>
      <c r="H69" s="823"/>
      <c r="I69" s="824"/>
    </row>
    <row r="70" spans="1:9" ht="12.75">
      <c r="A70" s="294" t="s">
        <v>99</v>
      </c>
      <c r="B70" s="42"/>
      <c r="C70" s="42"/>
      <c r="D70" s="42"/>
      <c r="E70" s="42"/>
      <c r="F70" s="201"/>
      <c r="G70" s="201"/>
      <c r="H70" s="20"/>
      <c r="I70" s="157"/>
    </row>
    <row r="71" spans="1:9" ht="13.5" customHeight="1" thickBot="1">
      <c r="A71" s="891" t="s">
        <v>123</v>
      </c>
      <c r="B71" s="892"/>
      <c r="C71" s="892"/>
      <c r="D71" s="892"/>
      <c r="E71" s="892"/>
      <c r="F71" s="892"/>
      <c r="G71" s="849"/>
      <c r="H71" s="849"/>
      <c r="I71" s="850"/>
    </row>
    <row r="72" spans="1:9" ht="13.5" customHeight="1">
      <c r="A72" s="44"/>
      <c r="B72" s="258"/>
      <c r="C72" s="258"/>
      <c r="D72" s="258"/>
      <c r="E72" s="258"/>
      <c r="F72" s="258"/>
      <c r="G72" s="4"/>
      <c r="H72" s="4"/>
      <c r="I72" s="4"/>
    </row>
    <row r="73" spans="1:9" ht="13.5" customHeight="1">
      <c r="A73" s="44"/>
      <c r="B73" s="258"/>
      <c r="C73" s="258"/>
      <c r="D73" s="258"/>
      <c r="E73" s="258"/>
      <c r="F73" s="714" t="s">
        <v>364</v>
      </c>
      <c r="G73" s="4"/>
      <c r="H73" s="4"/>
      <c r="I73" s="4"/>
    </row>
    <row r="74" spans="1:9" ht="13.5" thickBot="1">
      <c r="A74" s="242"/>
      <c r="B74" s="242"/>
      <c r="C74" s="242"/>
      <c r="D74" s="242"/>
      <c r="E74" s="242"/>
      <c r="F74" s="243"/>
      <c r="G74" s="243"/>
      <c r="H74" s="21"/>
      <c r="I74" s="21"/>
    </row>
    <row r="75" spans="1:9" ht="15">
      <c r="A75" s="295" t="s">
        <v>131</v>
      </c>
      <c r="B75" s="296"/>
      <c r="C75" s="296"/>
      <c r="D75" s="296"/>
      <c r="E75" s="296"/>
      <c r="F75" s="296"/>
      <c r="G75" s="173"/>
      <c r="H75" s="297"/>
      <c r="I75" s="331"/>
    </row>
    <row r="76" spans="1:9" ht="12.75">
      <c r="A76" s="298"/>
      <c r="B76" s="244"/>
      <c r="C76" s="244"/>
      <c r="D76" s="244"/>
      <c r="E76" s="244"/>
      <c r="F76" s="244"/>
      <c r="G76" s="244"/>
      <c r="H76" s="299"/>
      <c r="I76" s="332"/>
    </row>
    <row r="77" spans="1:9" ht="12.75">
      <c r="A77" s="316" t="s">
        <v>359</v>
      </c>
      <c r="B77" s="57" t="s">
        <v>20</v>
      </c>
      <c r="C77" s="57" t="s">
        <v>377</v>
      </c>
      <c r="D77" s="57" t="s">
        <v>351</v>
      </c>
      <c r="E77" s="57" t="s">
        <v>354</v>
      </c>
      <c r="F77" s="58" t="s">
        <v>355</v>
      </c>
      <c r="G77" s="137" t="s">
        <v>119</v>
      </c>
      <c r="H77" s="58" t="s">
        <v>355</v>
      </c>
      <c r="I77" s="317" t="s">
        <v>355</v>
      </c>
    </row>
    <row r="78" spans="1:9" ht="12.75">
      <c r="A78" s="316" t="s">
        <v>361</v>
      </c>
      <c r="B78" s="57" t="s">
        <v>276</v>
      </c>
      <c r="C78" s="57" t="s">
        <v>354</v>
      </c>
      <c r="D78" s="57" t="s">
        <v>352</v>
      </c>
      <c r="E78" s="57" t="s">
        <v>25</v>
      </c>
      <c r="F78" s="58" t="s">
        <v>279</v>
      </c>
      <c r="G78" s="137" t="s">
        <v>120</v>
      </c>
      <c r="H78" s="58" t="s">
        <v>279</v>
      </c>
      <c r="I78" s="317" t="s">
        <v>8</v>
      </c>
    </row>
    <row r="79" spans="1:9" ht="12.75">
      <c r="A79" s="318"/>
      <c r="B79" s="57" t="s">
        <v>275</v>
      </c>
      <c r="C79" s="57" t="s">
        <v>26</v>
      </c>
      <c r="D79" s="57"/>
      <c r="E79" s="57" t="s">
        <v>382</v>
      </c>
      <c r="F79" s="58" t="s">
        <v>382</v>
      </c>
      <c r="G79" s="137" t="s">
        <v>352</v>
      </c>
      <c r="H79" s="58" t="s">
        <v>382</v>
      </c>
      <c r="I79" s="317" t="s">
        <v>9</v>
      </c>
    </row>
    <row r="80" spans="1:9" ht="12.75">
      <c r="A80" s="318"/>
      <c r="B80" s="57"/>
      <c r="C80" s="57" t="s">
        <v>360</v>
      </c>
      <c r="D80" s="57" t="s">
        <v>356</v>
      </c>
      <c r="E80" s="57" t="s">
        <v>381</v>
      </c>
      <c r="F80" s="58" t="s">
        <v>414</v>
      </c>
      <c r="G80" s="137" t="s">
        <v>2</v>
      </c>
      <c r="H80" s="58" t="s">
        <v>7</v>
      </c>
      <c r="I80" s="317" t="s">
        <v>7</v>
      </c>
    </row>
    <row r="81" spans="1:9" ht="12.75">
      <c r="A81" s="300"/>
      <c r="B81" s="57"/>
      <c r="C81" s="57"/>
      <c r="D81" s="60"/>
      <c r="E81" s="57"/>
      <c r="F81" s="58"/>
      <c r="G81" s="57"/>
      <c r="H81" s="245"/>
      <c r="I81" s="333"/>
    </row>
    <row r="82" spans="1:9" ht="12.75">
      <c r="A82" s="301" t="s">
        <v>100</v>
      </c>
      <c r="B82" s="60">
        <f>B143</f>
        <v>1</v>
      </c>
      <c r="C82" s="61">
        <f>SUM(B82*Summary!D81)</f>
        <v>107661.4308</v>
      </c>
      <c r="D82" s="61">
        <f>SUM(B141)</f>
        <v>3</v>
      </c>
      <c r="E82" s="61">
        <f>C82*D82</f>
        <v>322984.29240000003</v>
      </c>
      <c r="F82" s="61">
        <f>SUM(E82*Summary!D72*Summary!D76)</f>
        <v>442488.4805880001</v>
      </c>
      <c r="G82" s="61">
        <f>SUM(E82*Summary!D73)</f>
        <v>29520.76432536</v>
      </c>
      <c r="H82" s="337">
        <f>SUM(F82/Summary!D74)</f>
        <v>200.70963730166656</v>
      </c>
      <c r="I82" s="338">
        <f>SUM(H82/D82)</f>
        <v>66.90321243388885</v>
      </c>
    </row>
    <row r="83" spans="1:9" ht="12.75">
      <c r="A83" s="301" t="s">
        <v>101</v>
      </c>
      <c r="B83" s="60">
        <f>B144</f>
        <v>1</v>
      </c>
      <c r="C83" s="61">
        <f>SUM(B83*Summary!D84*0.1)</f>
        <v>1802.196</v>
      </c>
      <c r="D83" s="61">
        <f>SUM(B141)</f>
        <v>3</v>
      </c>
      <c r="E83" s="61">
        <f>C83*D83</f>
        <v>5406.588</v>
      </c>
      <c r="F83" s="61">
        <f>SUM(E83*Summary!D72*Summary!D76)</f>
        <v>7407.02556</v>
      </c>
      <c r="G83" s="61">
        <f>SUM(E83*Summary!D73)</f>
        <v>494.16214319999995</v>
      </c>
      <c r="H83" s="337">
        <f>SUM(F83/Summary!D74)</f>
        <v>3.3597742740245486</v>
      </c>
      <c r="I83" s="338">
        <f>SUM(H83/D83)</f>
        <v>1.1199247580081828</v>
      </c>
    </row>
    <row r="84" spans="1:9" ht="12.75">
      <c r="A84" s="301" t="s">
        <v>102</v>
      </c>
      <c r="B84" s="60">
        <f>B145</f>
        <v>1</v>
      </c>
      <c r="C84" s="61">
        <f>B146</f>
        <v>89717.4927</v>
      </c>
      <c r="D84" s="61">
        <f>SUM(B141)</f>
        <v>3</v>
      </c>
      <c r="E84" s="61">
        <f>C84*D84</f>
        <v>269152.4781</v>
      </c>
      <c r="F84" s="61">
        <f>SUM(E84*Summary!D72*Summary!D76)</f>
        <v>368738.89499700005</v>
      </c>
      <c r="G84" s="61">
        <f>SUM(E84*Summary!D73)</f>
        <v>24600.53649834</v>
      </c>
      <c r="H84" s="337">
        <f>SUM(F84/Summary!D74)</f>
        <v>167.25734820377212</v>
      </c>
      <c r="I84" s="338">
        <f>SUM(H84/D84)</f>
        <v>55.75244940125737</v>
      </c>
    </row>
    <row r="85" spans="1:9" ht="12.75">
      <c r="A85" s="321" t="s">
        <v>14</v>
      </c>
      <c r="B85" s="60">
        <v>1</v>
      </c>
      <c r="C85" s="61">
        <f>SUM(B84*B147)</f>
        <v>32967</v>
      </c>
      <c r="D85" s="61">
        <f>SUM(B141)</f>
        <v>3</v>
      </c>
      <c r="E85" s="61">
        <f>C85*D85</f>
        <v>98901</v>
      </c>
      <c r="F85" s="61">
        <f>E85*Summary!D72*Summary!D76</f>
        <v>135494.37000000002</v>
      </c>
      <c r="G85" s="138">
        <f>E85*Summary!D73</f>
        <v>9039.5514</v>
      </c>
      <c r="H85" s="337">
        <f>SUM(F85/Summary!D74)</f>
        <v>61.45928550044907</v>
      </c>
      <c r="I85" s="338">
        <f>SUM(H85/D85)</f>
        <v>20.48642850014969</v>
      </c>
    </row>
    <row r="86" spans="1:9" ht="12.75">
      <c r="A86" s="301"/>
      <c r="B86" s="62"/>
      <c r="C86" s="61"/>
      <c r="D86" s="61"/>
      <c r="E86" s="61"/>
      <c r="F86" s="61"/>
      <c r="G86" s="306"/>
      <c r="H86" s="245"/>
      <c r="I86" s="333"/>
    </row>
    <row r="87" spans="1:9" ht="12.75">
      <c r="A87" s="302" t="s">
        <v>378</v>
      </c>
      <c r="B87" s="62"/>
      <c r="C87" s="61">
        <f>SUM(C82:C86)</f>
        <v>232148.1195</v>
      </c>
      <c r="D87" s="60"/>
      <c r="E87" s="61">
        <f>SUM(E82:E86)</f>
        <v>696444.3585000001</v>
      </c>
      <c r="F87" s="61">
        <f>SUM(F82:F86)</f>
        <v>954128.7711450001</v>
      </c>
      <c r="G87" s="306">
        <f>SUM(G82:G86)</f>
        <v>63655.014366899995</v>
      </c>
      <c r="H87" s="61">
        <f>SUM(H82:H86)</f>
        <v>432.78604527991234</v>
      </c>
      <c r="I87" s="512">
        <f>SUM(I82:I86)</f>
        <v>144.2620150933041</v>
      </c>
    </row>
    <row r="88" spans="1:9" ht="12.75">
      <c r="A88" s="302"/>
      <c r="B88" s="62"/>
      <c r="C88" s="61"/>
      <c r="D88" s="245"/>
      <c r="E88" s="246"/>
      <c r="F88" s="64"/>
      <c r="G88" s="64"/>
      <c r="H88" s="245"/>
      <c r="I88" s="334"/>
    </row>
    <row r="89" spans="1:9" ht="12.75">
      <c r="A89" s="303" t="s">
        <v>317</v>
      </c>
      <c r="B89" s="62"/>
      <c r="C89" s="62"/>
      <c r="D89" s="63"/>
      <c r="E89" s="62"/>
      <c r="F89" s="64"/>
      <c r="G89" s="64"/>
      <c r="H89" s="245"/>
      <c r="I89" s="333"/>
    </row>
    <row r="90" spans="1:9" ht="15.75" customHeight="1">
      <c r="A90" s="884" t="s">
        <v>103</v>
      </c>
      <c r="B90" s="823"/>
      <c r="C90" s="823"/>
      <c r="D90" s="823"/>
      <c r="E90" s="823"/>
      <c r="F90" s="823"/>
      <c r="G90" s="823"/>
      <c r="H90" s="823"/>
      <c r="I90" s="824"/>
    </row>
    <row r="91" spans="1:9" ht="12.75">
      <c r="A91" s="301" t="s">
        <v>104</v>
      </c>
      <c r="B91" s="62"/>
      <c r="C91" s="62"/>
      <c r="D91" s="62"/>
      <c r="E91" s="62"/>
      <c r="F91" s="62"/>
      <c r="G91" s="62"/>
      <c r="H91" s="62"/>
      <c r="I91" s="335"/>
    </row>
    <row r="92" spans="1:9" ht="24.75" customHeight="1">
      <c r="A92" s="884" t="s">
        <v>105</v>
      </c>
      <c r="B92" s="888"/>
      <c r="C92" s="888"/>
      <c r="D92" s="888"/>
      <c r="E92" s="888"/>
      <c r="F92" s="888"/>
      <c r="G92" s="888"/>
      <c r="H92" s="823"/>
      <c r="I92" s="824"/>
    </row>
    <row r="93" spans="1:9" ht="23.25" customHeight="1">
      <c r="A93" s="884" t="s">
        <v>124</v>
      </c>
      <c r="B93" s="823"/>
      <c r="C93" s="823"/>
      <c r="D93" s="823"/>
      <c r="E93" s="823"/>
      <c r="F93" s="823"/>
      <c r="G93" s="823"/>
      <c r="H93" s="823"/>
      <c r="I93" s="824"/>
    </row>
    <row r="94" spans="1:9" ht="23.25" customHeight="1">
      <c r="A94" s="884" t="s">
        <v>126</v>
      </c>
      <c r="B94" s="823"/>
      <c r="C94" s="823"/>
      <c r="D94" s="823"/>
      <c r="E94" s="823"/>
      <c r="F94" s="823"/>
      <c r="G94" s="823"/>
      <c r="H94" s="823"/>
      <c r="I94" s="824"/>
    </row>
    <row r="95" spans="1:9" ht="13.5" thickBot="1">
      <c r="A95" s="304"/>
      <c r="B95" s="305"/>
      <c r="C95" s="305"/>
      <c r="D95" s="305"/>
      <c r="E95" s="305"/>
      <c r="F95" s="305"/>
      <c r="G95" s="305"/>
      <c r="H95" s="305"/>
      <c r="I95" s="336"/>
    </row>
    <row r="96" spans="1:9" ht="12.75">
      <c r="A96" s="307"/>
      <c r="B96" s="308"/>
      <c r="C96" s="308"/>
      <c r="D96" s="308"/>
      <c r="E96" s="308"/>
      <c r="F96" s="308"/>
      <c r="G96" s="308"/>
      <c r="H96" s="51"/>
      <c r="I96" s="51"/>
    </row>
    <row r="97" spans="1:9" ht="12.75">
      <c r="A97" s="62"/>
      <c r="B97" s="62"/>
      <c r="C97" s="62"/>
      <c r="D97" s="62"/>
      <c r="E97" s="62"/>
      <c r="G97" s="62"/>
      <c r="H97" s="51"/>
      <c r="I97" s="51"/>
    </row>
    <row r="98" spans="1:9" ht="12.75">
      <c r="A98" s="62"/>
      <c r="B98" s="62"/>
      <c r="C98" s="62"/>
      <c r="D98" s="62"/>
      <c r="E98" s="62"/>
      <c r="F98" s="62"/>
      <c r="G98" s="62"/>
      <c r="H98" s="51"/>
      <c r="I98" s="51"/>
    </row>
    <row r="99" spans="1:9" ht="12.75">
      <c r="A99" s="62"/>
      <c r="B99" s="62"/>
      <c r="C99" s="62"/>
      <c r="D99" s="62"/>
      <c r="E99" s="62"/>
      <c r="F99" s="62"/>
      <c r="G99" s="62"/>
      <c r="H99" s="51"/>
      <c r="I99" s="51"/>
    </row>
    <row r="100" spans="1:9" ht="13.5" thickBot="1">
      <c r="A100" s="62"/>
      <c r="B100" s="62"/>
      <c r="C100" s="62"/>
      <c r="D100" s="62"/>
      <c r="E100" s="62"/>
      <c r="F100" s="62"/>
      <c r="G100" s="62"/>
      <c r="H100" s="51"/>
      <c r="I100" s="51"/>
    </row>
    <row r="101" spans="1:9" ht="15">
      <c r="A101" s="310" t="s">
        <v>132</v>
      </c>
      <c r="B101" s="311"/>
      <c r="C101" s="311"/>
      <c r="D101" s="311"/>
      <c r="E101" s="311"/>
      <c r="F101" s="311"/>
      <c r="G101" s="189"/>
      <c r="H101" s="312"/>
      <c r="I101" s="313"/>
    </row>
    <row r="102" spans="1:9" ht="12.75">
      <c r="A102" s="314"/>
      <c r="B102" s="28"/>
      <c r="C102" s="28"/>
      <c r="D102" s="28"/>
      <c r="E102" s="28"/>
      <c r="F102" s="28"/>
      <c r="G102" s="136"/>
      <c r="H102" s="29"/>
      <c r="I102" s="315"/>
    </row>
    <row r="103" spans="1:9" ht="12.75">
      <c r="A103" s="316" t="s">
        <v>359</v>
      </c>
      <c r="B103" s="57" t="s">
        <v>20</v>
      </c>
      <c r="C103" s="57" t="s">
        <v>377</v>
      </c>
      <c r="D103" s="57" t="s">
        <v>351</v>
      </c>
      <c r="E103" s="57" t="s">
        <v>29</v>
      </c>
      <c r="F103" s="58" t="s">
        <v>355</v>
      </c>
      <c r="G103" s="137" t="s">
        <v>27</v>
      </c>
      <c r="H103" s="58" t="s">
        <v>355</v>
      </c>
      <c r="I103" s="317" t="s">
        <v>355</v>
      </c>
    </row>
    <row r="104" spans="1:9" ht="12.75">
      <c r="A104" s="316" t="s">
        <v>44</v>
      </c>
      <c r="B104" s="57" t="s">
        <v>16</v>
      </c>
      <c r="C104" s="57" t="s">
        <v>17</v>
      </c>
      <c r="D104" s="57" t="s">
        <v>352</v>
      </c>
      <c r="E104" s="57" t="s">
        <v>28</v>
      </c>
      <c r="F104" s="58" t="s">
        <v>30</v>
      </c>
      <c r="G104" s="137" t="s">
        <v>28</v>
      </c>
      <c r="H104" s="58" t="s">
        <v>30</v>
      </c>
      <c r="I104" s="317" t="s">
        <v>8</v>
      </c>
    </row>
    <row r="105" spans="1:9" ht="12.75">
      <c r="A105" s="318"/>
      <c r="B105" s="57"/>
      <c r="C105" s="57" t="s">
        <v>358</v>
      </c>
      <c r="D105" s="57"/>
      <c r="E105" s="57" t="s">
        <v>352</v>
      </c>
      <c r="F105" s="58" t="s">
        <v>382</v>
      </c>
      <c r="G105" s="137" t="s">
        <v>352</v>
      </c>
      <c r="H105" s="58" t="s">
        <v>382</v>
      </c>
      <c r="I105" s="317" t="s">
        <v>9</v>
      </c>
    </row>
    <row r="106" spans="1:9" ht="12.75">
      <c r="A106" s="318"/>
      <c r="B106" s="57"/>
      <c r="C106" s="57" t="s">
        <v>18</v>
      </c>
      <c r="D106" s="57" t="s">
        <v>356</v>
      </c>
      <c r="E106" s="57" t="s">
        <v>19</v>
      </c>
      <c r="F106" s="58" t="s">
        <v>414</v>
      </c>
      <c r="G106" s="137" t="s">
        <v>2</v>
      </c>
      <c r="H106" s="58" t="s">
        <v>7</v>
      </c>
      <c r="I106" s="317" t="s">
        <v>7</v>
      </c>
    </row>
    <row r="107" spans="1:9" ht="24">
      <c r="A107" s="319" t="s">
        <v>15</v>
      </c>
      <c r="B107" s="60">
        <v>1</v>
      </c>
      <c r="C107" s="61">
        <v>2000</v>
      </c>
      <c r="D107" s="61">
        <f>SUM(B141)</f>
        <v>3</v>
      </c>
      <c r="E107" s="61">
        <f>C107*D107</f>
        <v>6000</v>
      </c>
      <c r="F107" s="61">
        <f>E107*Summary!D85</f>
        <v>117384</v>
      </c>
      <c r="G107" s="138">
        <f>E107*Summary!D87</f>
        <v>18120</v>
      </c>
      <c r="H107" s="61">
        <f>F107/Summary!D74</f>
        <v>53.24455008119313</v>
      </c>
      <c r="I107" s="320">
        <f>SUM(H107/D107)</f>
        <v>17.74818336039771</v>
      </c>
    </row>
    <row r="108" spans="1:9" ht="12.75">
      <c r="A108" s="321"/>
      <c r="B108" s="60"/>
      <c r="C108" s="61"/>
      <c r="D108" s="61"/>
      <c r="E108" s="61"/>
      <c r="F108" s="61"/>
      <c r="G108" s="138"/>
      <c r="H108" s="61"/>
      <c r="I108" s="322"/>
    </row>
    <row r="109" spans="1:9" ht="12.75">
      <c r="A109" s="323" t="s">
        <v>378</v>
      </c>
      <c r="B109" s="60"/>
      <c r="C109" s="61">
        <f>SUM(C107:C108)</f>
        <v>2000</v>
      </c>
      <c r="D109" s="61"/>
      <c r="E109" s="61">
        <f>SUM(E107:E108)</f>
        <v>6000</v>
      </c>
      <c r="F109" s="61">
        <f>SUM(F107:F108)</f>
        <v>117384</v>
      </c>
      <c r="G109" s="138">
        <f>SUM(G107:G108)</f>
        <v>18120</v>
      </c>
      <c r="H109" s="61">
        <f>SUM(H107:H108)</f>
        <v>53.24455008119313</v>
      </c>
      <c r="I109" s="309">
        <f>SUM(I107:I108)</f>
        <v>17.74818336039771</v>
      </c>
    </row>
    <row r="110" spans="1:9" ht="12.75">
      <c r="A110" s="323"/>
      <c r="B110" s="60"/>
      <c r="C110" s="61"/>
      <c r="D110" s="61"/>
      <c r="E110" s="61"/>
      <c r="F110" s="61"/>
      <c r="G110" s="139"/>
      <c r="H110" s="97"/>
      <c r="I110" s="324"/>
    </row>
    <row r="111" spans="1:9" ht="13.5" thickBot="1">
      <c r="A111" s="325"/>
      <c r="B111" s="326"/>
      <c r="C111" s="326"/>
      <c r="D111" s="326"/>
      <c r="E111" s="327"/>
      <c r="F111" s="327"/>
      <c r="G111" s="328"/>
      <c r="H111" s="329"/>
      <c r="I111" s="330"/>
    </row>
    <row r="112" spans="1:9" ht="12.75">
      <c r="A112" s="62"/>
      <c r="B112" s="62"/>
      <c r="C112" s="62"/>
      <c r="D112" s="62"/>
      <c r="E112" s="62"/>
      <c r="F112" s="62"/>
      <c r="G112" s="62"/>
      <c r="H112" s="51"/>
      <c r="I112" s="51"/>
    </row>
    <row r="113" spans="1:9" ht="12.75">
      <c r="A113" s="62"/>
      <c r="B113" s="62"/>
      <c r="C113" s="62"/>
      <c r="D113" s="62"/>
      <c r="E113" s="62"/>
      <c r="F113" s="714" t="s">
        <v>364</v>
      </c>
      <c r="G113" s="62"/>
      <c r="H113" s="51"/>
      <c r="I113" s="51"/>
    </row>
    <row r="114" spans="1:9" ht="13.5" thickBot="1">
      <c r="A114" s="247"/>
      <c r="B114" s="62"/>
      <c r="C114" s="62"/>
      <c r="D114" s="62"/>
      <c r="E114" s="62"/>
      <c r="F114" s="62"/>
      <c r="G114" s="62"/>
      <c r="H114" s="51"/>
      <c r="I114" s="51"/>
    </row>
    <row r="115" spans="1:9" ht="12.75">
      <c r="A115" s="395" t="s">
        <v>133</v>
      </c>
      <c r="B115" s="396"/>
      <c r="C115" s="397"/>
      <c r="D115" s="397"/>
      <c r="E115" s="397"/>
      <c r="F115" s="398"/>
      <c r="G115" s="515"/>
      <c r="H115" s="173"/>
      <c r="I115" s="399"/>
    </row>
    <row r="116" spans="1:9" ht="12.75">
      <c r="A116" s="400"/>
      <c r="B116" s="249"/>
      <c r="C116" s="125"/>
      <c r="D116" s="125"/>
      <c r="E116" s="125"/>
      <c r="F116" s="126"/>
      <c r="G116" s="62"/>
      <c r="H116" s="62"/>
      <c r="I116" s="335"/>
    </row>
    <row r="117" spans="1:9" ht="12.75">
      <c r="A117" s="400"/>
      <c r="B117" s="831" t="s">
        <v>68</v>
      </c>
      <c r="C117" s="832"/>
      <c r="D117" s="831" t="s">
        <v>37</v>
      </c>
      <c r="E117" s="832"/>
      <c r="F117" s="827" t="s">
        <v>35</v>
      </c>
      <c r="G117" s="832"/>
      <c r="H117" s="827" t="s">
        <v>36</v>
      </c>
      <c r="I117" s="828"/>
    </row>
    <row r="118" spans="1:9" ht="12.75">
      <c r="A118" s="400"/>
      <c r="B118" s="98" t="s">
        <v>377</v>
      </c>
      <c r="C118" s="98" t="s">
        <v>379</v>
      </c>
      <c r="D118" s="98" t="s">
        <v>377</v>
      </c>
      <c r="E118" s="98" t="s">
        <v>379</v>
      </c>
      <c r="F118" s="99" t="s">
        <v>377</v>
      </c>
      <c r="G118" s="98" t="s">
        <v>379</v>
      </c>
      <c r="H118" s="99" t="s">
        <v>377</v>
      </c>
      <c r="I118" s="401" t="s">
        <v>379</v>
      </c>
    </row>
    <row r="119" spans="1:9" ht="12.75">
      <c r="A119" s="400"/>
      <c r="B119" s="98" t="s">
        <v>351</v>
      </c>
      <c r="C119" s="98" t="s">
        <v>380</v>
      </c>
      <c r="D119" s="98" t="s">
        <v>351</v>
      </c>
      <c r="E119" s="98" t="s">
        <v>380</v>
      </c>
      <c r="F119" s="99" t="s">
        <v>351</v>
      </c>
      <c r="G119" s="98" t="s">
        <v>380</v>
      </c>
      <c r="H119" s="99" t="s">
        <v>351</v>
      </c>
      <c r="I119" s="401" t="s">
        <v>380</v>
      </c>
    </row>
    <row r="120" spans="1:9" ht="13.5" thickBot="1">
      <c r="A120" s="400"/>
      <c r="B120" s="226" t="s">
        <v>360</v>
      </c>
      <c r="C120" s="226" t="s">
        <v>381</v>
      </c>
      <c r="D120" s="226" t="s">
        <v>19</v>
      </c>
      <c r="E120" s="226" t="s">
        <v>19</v>
      </c>
      <c r="F120" s="227" t="s">
        <v>31</v>
      </c>
      <c r="G120" s="227" t="s">
        <v>31</v>
      </c>
      <c r="H120" s="228" t="s">
        <v>383</v>
      </c>
      <c r="I120" s="402" t="s">
        <v>383</v>
      </c>
    </row>
    <row r="121" spans="1:9" ht="12.75">
      <c r="A121" s="400"/>
      <c r="B121" s="98"/>
      <c r="C121" s="98"/>
      <c r="D121" s="99"/>
      <c r="E121" s="98"/>
      <c r="F121" s="250"/>
      <c r="G121" s="308"/>
      <c r="H121" s="62"/>
      <c r="I121" s="335"/>
    </row>
    <row r="122" spans="1:9" ht="13.5" thickBot="1">
      <c r="A122" s="403" t="s">
        <v>378</v>
      </c>
      <c r="B122" s="404">
        <f>SUM(C87)</f>
        <v>232148.1195</v>
      </c>
      <c r="C122" s="405">
        <f>SUM(B122*23)</f>
        <v>5339406.7485</v>
      </c>
      <c r="D122" s="405">
        <f>SUM(C109)</f>
        <v>2000</v>
      </c>
      <c r="E122" s="405">
        <f>SUM(D122*23)</f>
        <v>46000</v>
      </c>
      <c r="F122" s="406">
        <f>SUM(I87+I109)</f>
        <v>162.0101984537018</v>
      </c>
      <c r="G122" s="405">
        <f>SUM(F122*23)</f>
        <v>3726.2345644351417</v>
      </c>
      <c r="H122" s="405">
        <f>SUM(G87/B141+G109/B141)</f>
        <v>27258.3381223</v>
      </c>
      <c r="I122" s="407">
        <f>SUM(H122*23)</f>
        <v>626941.7768129</v>
      </c>
    </row>
    <row r="123" spans="1:9" ht="12.75">
      <c r="A123" s="339"/>
      <c r="B123" s="256"/>
      <c r="C123" s="125"/>
      <c r="D123" s="125"/>
      <c r="E123" s="125"/>
      <c r="F123" s="340"/>
      <c r="G123" s="125"/>
      <c r="H123" s="125"/>
      <c r="I123" s="125"/>
    </row>
    <row r="124" spans="1:9" ht="12.75">
      <c r="A124" s="339"/>
      <c r="B124" s="256"/>
      <c r="C124" s="125"/>
      <c r="D124" s="125"/>
      <c r="E124" s="125"/>
      <c r="G124" s="125"/>
      <c r="H124" s="125"/>
      <c r="I124" s="125"/>
    </row>
    <row r="125" spans="1:9" ht="12.75">
      <c r="A125" s="339"/>
      <c r="B125" s="256"/>
      <c r="C125" s="125"/>
      <c r="D125" s="125"/>
      <c r="E125" s="125"/>
      <c r="F125" s="340"/>
      <c r="G125" s="125"/>
      <c r="H125" s="125"/>
      <c r="I125" s="125"/>
    </row>
    <row r="126" spans="1:9" ht="13.5" thickBot="1">
      <c r="A126" s="339"/>
      <c r="B126" s="256"/>
      <c r="C126" s="125"/>
      <c r="D126" s="125"/>
      <c r="E126" s="125"/>
      <c r="F126" s="340"/>
      <c r="G126" s="125"/>
      <c r="H126" s="125"/>
      <c r="I126" s="125"/>
    </row>
    <row r="127" spans="1:9" ht="12.75">
      <c r="A127" s="516" t="s">
        <v>134</v>
      </c>
      <c r="B127" s="517"/>
      <c r="C127" s="518"/>
      <c r="D127" s="518"/>
      <c r="E127" s="518"/>
      <c r="F127" s="519"/>
      <c r="G127" s="520"/>
      <c r="H127" s="297"/>
      <c r="I127" s="331"/>
    </row>
    <row r="128" spans="1:9" ht="12.75">
      <c r="A128" s="521"/>
      <c r="B128" s="100"/>
      <c r="C128" s="101"/>
      <c r="D128" s="101"/>
      <c r="E128" s="101"/>
      <c r="F128" s="102"/>
      <c r="G128" s="142"/>
      <c r="H128" s="29"/>
      <c r="I128" s="315"/>
    </row>
    <row r="129" spans="1:9" ht="12.75">
      <c r="A129" s="522"/>
      <c r="B129" s="831" t="s">
        <v>67</v>
      </c>
      <c r="C129" s="832"/>
      <c r="D129" s="831" t="s">
        <v>40</v>
      </c>
      <c r="E129" s="832"/>
      <c r="F129" s="827" t="s">
        <v>41</v>
      </c>
      <c r="G129" s="832"/>
      <c r="H129" s="827" t="s">
        <v>42</v>
      </c>
      <c r="I129" s="828"/>
    </row>
    <row r="130" spans="1:9" ht="12.75">
      <c r="A130" s="522"/>
      <c r="B130" s="98" t="s">
        <v>377</v>
      </c>
      <c r="C130" s="98" t="s">
        <v>379</v>
      </c>
      <c r="D130" s="98" t="s">
        <v>377</v>
      </c>
      <c r="E130" s="98" t="s">
        <v>379</v>
      </c>
      <c r="F130" s="99" t="s">
        <v>377</v>
      </c>
      <c r="G130" s="98" t="s">
        <v>379</v>
      </c>
      <c r="H130" s="99" t="s">
        <v>377</v>
      </c>
      <c r="I130" s="401" t="s">
        <v>379</v>
      </c>
    </row>
    <row r="131" spans="1:9" ht="12.75">
      <c r="A131" s="522"/>
      <c r="B131" s="98" t="s">
        <v>351</v>
      </c>
      <c r="C131" s="98" t="s">
        <v>380</v>
      </c>
      <c r="D131" s="98" t="s">
        <v>351</v>
      </c>
      <c r="E131" s="98" t="s">
        <v>380</v>
      </c>
      <c r="F131" s="99" t="s">
        <v>351</v>
      </c>
      <c r="G131" s="98" t="s">
        <v>380</v>
      </c>
      <c r="H131" s="99" t="s">
        <v>351</v>
      </c>
      <c r="I131" s="401" t="s">
        <v>380</v>
      </c>
    </row>
    <row r="132" spans="1:9" ht="13.5" thickBot="1">
      <c r="A132" s="415"/>
      <c r="B132" s="226" t="s">
        <v>360</v>
      </c>
      <c r="C132" s="226" t="s">
        <v>381</v>
      </c>
      <c r="D132" s="226" t="s">
        <v>19</v>
      </c>
      <c r="E132" s="226" t="s">
        <v>19</v>
      </c>
      <c r="F132" s="227" t="s">
        <v>31</v>
      </c>
      <c r="G132" s="227" t="s">
        <v>31</v>
      </c>
      <c r="H132" s="228" t="s">
        <v>383</v>
      </c>
      <c r="I132" s="402" t="s">
        <v>383</v>
      </c>
    </row>
    <row r="133" spans="1:9" ht="12.75">
      <c r="A133" s="522" t="s">
        <v>378</v>
      </c>
      <c r="B133" s="125">
        <f>SUM(B122*E66)</f>
        <v>6734343.031963789</v>
      </c>
      <c r="C133" s="125">
        <f>SUM(B133*23)</f>
        <v>154889889.73516715</v>
      </c>
      <c r="D133" s="125">
        <f>SUM(D122*E66)</f>
        <v>58017.64017273281</v>
      </c>
      <c r="E133" s="125">
        <f>SUM(D133*23)</f>
        <v>1334405.7239728547</v>
      </c>
      <c r="F133" s="125">
        <f>SUM(F122*E66)</f>
        <v>4699.724699099953</v>
      </c>
      <c r="G133" s="125">
        <f>SUM(F133*23)</f>
        <v>108093.66807929892</v>
      </c>
      <c r="H133" s="126">
        <f>SUM(H122*E66)</f>
        <v>790732.2264431433</v>
      </c>
      <c r="I133" s="416">
        <f>SUM(H133*23)</f>
        <v>18186841.208192296</v>
      </c>
    </row>
    <row r="134" spans="1:9" ht="13.5" thickBot="1">
      <c r="A134" s="523"/>
      <c r="B134" s="524"/>
      <c r="C134" s="405"/>
      <c r="D134" s="525"/>
      <c r="E134" s="524"/>
      <c r="F134" s="524"/>
      <c r="G134" s="526"/>
      <c r="H134" s="163"/>
      <c r="I134" s="369"/>
    </row>
    <row r="135" spans="1:9" ht="12.75">
      <c r="A135" s="339"/>
      <c r="B135" s="256"/>
      <c r="C135" s="125"/>
      <c r="D135" s="125"/>
      <c r="E135" s="125"/>
      <c r="F135" s="340"/>
      <c r="G135" s="125"/>
      <c r="H135" s="125"/>
      <c r="I135" s="125"/>
    </row>
    <row r="136" spans="1:9" ht="13.5" thickBot="1">
      <c r="A136" s="251"/>
      <c r="B136" s="22"/>
      <c r="C136" s="22"/>
      <c r="D136" s="22"/>
      <c r="E136" s="22"/>
      <c r="F136" s="714" t="s">
        <v>364</v>
      </c>
      <c r="G136" s="22"/>
      <c r="H136" s="22"/>
      <c r="I136" s="22"/>
    </row>
    <row r="137" spans="1:9" ht="15">
      <c r="A137" s="875" t="s">
        <v>196</v>
      </c>
      <c r="B137" s="876"/>
      <c r="C137" s="876"/>
      <c r="D137" s="876"/>
      <c r="E137" s="876"/>
      <c r="F137" s="876"/>
      <c r="G137" s="876"/>
      <c r="H137" s="876"/>
      <c r="I137" s="877"/>
    </row>
    <row r="138" spans="1:9" ht="26.25" thickBot="1">
      <c r="A138" s="513" t="s">
        <v>231</v>
      </c>
      <c r="B138" s="514" t="s">
        <v>302</v>
      </c>
      <c r="C138" s="893" t="s">
        <v>303</v>
      </c>
      <c r="D138" s="849"/>
      <c r="E138" s="849"/>
      <c r="F138" s="849"/>
      <c r="G138" s="849"/>
      <c r="H138" s="849"/>
      <c r="I138" s="850"/>
    </row>
    <row r="139" spans="1:9" ht="12.75">
      <c r="A139" s="440"/>
      <c r="B139" s="422"/>
      <c r="C139" s="894"/>
      <c r="D139" s="895"/>
      <c r="E139" s="895"/>
      <c r="F139" s="895"/>
      <c r="G139" s="895"/>
      <c r="H139" s="895"/>
      <c r="I139" s="896"/>
    </row>
    <row r="140" spans="1:9" ht="45.75">
      <c r="A140" s="433" t="s">
        <v>106</v>
      </c>
      <c r="B140" s="434">
        <f>SUM(C13)</f>
        <v>7</v>
      </c>
      <c r="C140" s="880" t="s">
        <v>107</v>
      </c>
      <c r="D140" s="881"/>
      <c r="E140" s="881"/>
      <c r="F140" s="878"/>
      <c r="G140" s="878"/>
      <c r="H140" s="878"/>
      <c r="I140" s="879"/>
    </row>
    <row r="141" spans="1:9" ht="40.5" customHeight="1">
      <c r="A141" s="433" t="s">
        <v>108</v>
      </c>
      <c r="B141" s="252">
        <v>3</v>
      </c>
      <c r="C141" s="880" t="s">
        <v>109</v>
      </c>
      <c r="D141" s="881"/>
      <c r="E141" s="881"/>
      <c r="F141" s="878"/>
      <c r="G141" s="878"/>
      <c r="H141" s="878"/>
      <c r="I141" s="879"/>
    </row>
    <row r="142" spans="1:9" ht="60">
      <c r="A142" s="435" t="s">
        <v>390</v>
      </c>
      <c r="B142" s="252">
        <v>0.5</v>
      </c>
      <c r="C142" s="882" t="s">
        <v>110</v>
      </c>
      <c r="D142" s="883"/>
      <c r="E142" s="883"/>
      <c r="F142" s="878"/>
      <c r="G142" s="878"/>
      <c r="H142" s="878"/>
      <c r="I142" s="879"/>
    </row>
    <row r="143" spans="1:9" ht="24">
      <c r="A143" s="435" t="s">
        <v>111</v>
      </c>
      <c r="B143" s="253">
        <v>1</v>
      </c>
      <c r="C143" s="901" t="s">
        <v>415</v>
      </c>
      <c r="D143" s="878"/>
      <c r="E143" s="878"/>
      <c r="F143" s="878"/>
      <c r="G143" s="878"/>
      <c r="H143" s="878"/>
      <c r="I143" s="879"/>
    </row>
    <row r="144" spans="1:9" ht="36">
      <c r="A144" s="436" t="s">
        <v>112</v>
      </c>
      <c r="B144" s="253">
        <v>1</v>
      </c>
      <c r="C144" s="901" t="s">
        <v>416</v>
      </c>
      <c r="D144" s="878"/>
      <c r="E144" s="878"/>
      <c r="F144" s="878"/>
      <c r="G144" s="878"/>
      <c r="H144" s="878"/>
      <c r="I144" s="879"/>
    </row>
    <row r="145" spans="1:9" ht="34.5">
      <c r="A145" s="433" t="s">
        <v>113</v>
      </c>
      <c r="B145" s="253">
        <v>1</v>
      </c>
      <c r="C145" s="901" t="s">
        <v>417</v>
      </c>
      <c r="D145" s="878"/>
      <c r="E145" s="878"/>
      <c r="F145" s="878"/>
      <c r="G145" s="878"/>
      <c r="H145" s="878"/>
      <c r="I145" s="879"/>
    </row>
    <row r="146" spans="1:9" ht="48">
      <c r="A146" s="435" t="s">
        <v>296</v>
      </c>
      <c r="B146" s="255">
        <f>SUM(81643*Summary!D75)</f>
        <v>89717.4927</v>
      </c>
      <c r="C146" s="901" t="s">
        <v>427</v>
      </c>
      <c r="D146" s="878"/>
      <c r="E146" s="878"/>
      <c r="F146" s="878"/>
      <c r="G146" s="878"/>
      <c r="H146" s="878"/>
      <c r="I146" s="879"/>
    </row>
    <row r="147" spans="1:9" ht="28.5" customHeight="1">
      <c r="A147" s="644" t="s">
        <v>57</v>
      </c>
      <c r="B147" s="645">
        <f>SUM(30000*Summary!D75)</f>
        <v>32967</v>
      </c>
      <c r="C147" s="897" t="s">
        <v>426</v>
      </c>
      <c r="D147" s="898"/>
      <c r="E147" s="898"/>
      <c r="F147" s="898"/>
      <c r="G147" s="898"/>
      <c r="H147" s="899"/>
      <c r="I147" s="900"/>
    </row>
    <row r="148" spans="1:9" ht="12.75">
      <c r="A148" s="437"/>
      <c r="B148" s="431"/>
      <c r="C148" s="774"/>
      <c r="D148" s="878"/>
      <c r="E148" s="878"/>
      <c r="F148" s="878"/>
      <c r="G148" s="878"/>
      <c r="H148" s="878"/>
      <c r="I148" s="879"/>
    </row>
    <row r="149" spans="1:9" ht="12.75">
      <c r="A149" s="437"/>
      <c r="B149" s="431"/>
      <c r="C149" s="774"/>
      <c r="D149" s="878"/>
      <c r="E149" s="878"/>
      <c r="F149" s="878"/>
      <c r="G149" s="878"/>
      <c r="H149" s="878"/>
      <c r="I149" s="879"/>
    </row>
    <row r="150" spans="1:9" ht="13.5" thickBot="1">
      <c r="A150" s="438"/>
      <c r="B150" s="439"/>
      <c r="C150" s="872"/>
      <c r="D150" s="873"/>
      <c r="E150" s="873"/>
      <c r="F150" s="873"/>
      <c r="G150" s="873"/>
      <c r="H150" s="873"/>
      <c r="I150" s="874"/>
    </row>
    <row r="154" ht="12.75">
      <c r="F154" s="714" t="s">
        <v>364</v>
      </c>
    </row>
  </sheetData>
  <mergeCells count="33">
    <mergeCell ref="C138:I138"/>
    <mergeCell ref="C139:I139"/>
    <mergeCell ref="C140:I140"/>
    <mergeCell ref="C147:I147"/>
    <mergeCell ref="C143:I143"/>
    <mergeCell ref="C144:I144"/>
    <mergeCell ref="C145:I145"/>
    <mergeCell ref="C146:I146"/>
    <mergeCell ref="A92:I92"/>
    <mergeCell ref="A36:I36"/>
    <mergeCell ref="A69:I69"/>
    <mergeCell ref="A71:I71"/>
    <mergeCell ref="A90:I90"/>
    <mergeCell ref="A1:I1"/>
    <mergeCell ref="A93:I93"/>
    <mergeCell ref="A94:I94"/>
    <mergeCell ref="B117:C117"/>
    <mergeCell ref="D117:E117"/>
    <mergeCell ref="F117:G117"/>
    <mergeCell ref="H117:I117"/>
    <mergeCell ref="A20:I20"/>
    <mergeCell ref="A33:I33"/>
    <mergeCell ref="A35:I35"/>
    <mergeCell ref="C150:I150"/>
    <mergeCell ref="D129:E129"/>
    <mergeCell ref="F129:G129"/>
    <mergeCell ref="A137:I137"/>
    <mergeCell ref="C148:I148"/>
    <mergeCell ref="H129:I129"/>
    <mergeCell ref="B129:C129"/>
    <mergeCell ref="C149:I149"/>
    <mergeCell ref="C141:I141"/>
    <mergeCell ref="C142:I142"/>
  </mergeCells>
  <printOptions/>
  <pageMargins left="0.5" right="0.5" top="0.5" bottom="0.5" header="0.25" footer="0.25"/>
  <pageSetup horizontalDpi="600" verticalDpi="600" orientation="landscape" scale="98" r:id="rId1"/>
  <headerFooter alignWithMargins="0">
    <oddFooter>&amp;CPage &amp;P of &amp;N</oddFooter>
  </headerFooter>
  <rowBreaks count="3" manualBreakCount="3">
    <brk id="38" max="255" man="1"/>
    <brk id="74" max="255" man="1"/>
    <brk id="136" max="255" man="1"/>
  </rowBreaks>
  <ignoredErrors>
    <ignoredError sqref="H122 F122 D122" formula="1"/>
  </ignoredErrors>
</worksheet>
</file>

<file path=xl/worksheets/sheet6.xml><?xml version="1.0" encoding="utf-8"?>
<worksheet xmlns="http://schemas.openxmlformats.org/spreadsheetml/2006/main" xmlns:r="http://schemas.openxmlformats.org/officeDocument/2006/relationships">
  <sheetPr codeName="Sheet6"/>
  <dimension ref="A1:I153"/>
  <sheetViews>
    <sheetView workbookViewId="0" topLeftCell="A1">
      <selection activeCell="A1" sqref="A1:I1"/>
    </sheetView>
  </sheetViews>
  <sheetFormatPr defaultColWidth="9.140625" defaultRowHeight="12.75"/>
  <cols>
    <col min="1" max="1" width="20.57421875" style="0" customWidth="1"/>
    <col min="2" max="2" width="12.140625" style="0" customWidth="1"/>
    <col min="3" max="3" width="11.421875" style="0" customWidth="1"/>
    <col min="4" max="4" width="12.28125" style="0" customWidth="1"/>
    <col min="5" max="5" width="12.421875" style="0" customWidth="1"/>
    <col min="6" max="6" width="12.7109375" style="0" customWidth="1"/>
    <col min="7" max="7" width="13.421875" style="0" customWidth="1"/>
    <col min="8" max="8" width="11.421875" style="0" customWidth="1"/>
    <col min="9" max="9" width="12.00390625" style="0" customWidth="1"/>
  </cols>
  <sheetData>
    <row r="1" spans="1:9" ht="15.75" customHeight="1">
      <c r="A1" s="833" t="s">
        <v>410</v>
      </c>
      <c r="B1" s="834"/>
      <c r="C1" s="834"/>
      <c r="D1" s="834"/>
      <c r="E1" s="834"/>
      <c r="F1" s="834"/>
      <c r="G1" s="834"/>
      <c r="H1" s="834"/>
      <c r="I1" s="767"/>
    </row>
    <row r="2" ht="15.75">
      <c r="A2" s="342" t="s">
        <v>183</v>
      </c>
    </row>
    <row r="3" spans="1:5" ht="12.75">
      <c r="A3" s="1" t="s">
        <v>438</v>
      </c>
      <c r="B3" s="20"/>
      <c r="C3" s="20"/>
      <c r="D3" s="20"/>
      <c r="E3" s="20"/>
    </row>
    <row r="5" ht="13.5" thickBot="1"/>
    <row r="6" spans="1:9" ht="12.75">
      <c r="A6" s="261" t="s">
        <v>137</v>
      </c>
      <c r="B6" s="155"/>
      <c r="C6" s="155"/>
      <c r="D6" s="155"/>
      <c r="E6" s="155"/>
      <c r="F6" s="155"/>
      <c r="G6" s="155"/>
      <c r="H6" s="155"/>
      <c r="I6" s="156"/>
    </row>
    <row r="7" spans="1:9" ht="12.75">
      <c r="A7" s="361"/>
      <c r="B7" s="20"/>
      <c r="C7" s="20"/>
      <c r="D7" s="20"/>
      <c r="E7" s="20"/>
      <c r="F7" s="20"/>
      <c r="G7" s="20"/>
      <c r="H7" s="20"/>
      <c r="I7" s="157"/>
    </row>
    <row r="8" spans="1:9" ht="36">
      <c r="A8" s="265" t="s">
        <v>328</v>
      </c>
      <c r="B8" s="41" t="s">
        <v>138</v>
      </c>
      <c r="C8" s="41" t="s">
        <v>85</v>
      </c>
      <c r="D8" s="42"/>
      <c r="E8" s="42"/>
      <c r="F8" s="20"/>
      <c r="G8" s="135"/>
      <c r="H8" s="20"/>
      <c r="I8" s="157"/>
    </row>
    <row r="9" spans="1:9" ht="12.75">
      <c r="A9" s="266">
        <v>2001</v>
      </c>
      <c r="B9" s="362">
        <v>2</v>
      </c>
      <c r="C9" s="343"/>
      <c r="D9" s="42"/>
      <c r="E9" s="42"/>
      <c r="F9" s="20"/>
      <c r="G9" s="135"/>
      <c r="H9" s="20"/>
      <c r="I9" s="157"/>
    </row>
    <row r="10" spans="1:9" ht="12.75">
      <c r="A10" s="266">
        <v>2002</v>
      </c>
      <c r="B10" s="362">
        <v>6</v>
      </c>
      <c r="C10" s="343"/>
      <c r="D10" s="42"/>
      <c r="E10" s="42"/>
      <c r="F10" s="20"/>
      <c r="G10" s="135"/>
      <c r="H10" s="20"/>
      <c r="I10" s="157"/>
    </row>
    <row r="11" spans="1:9" ht="12.75">
      <c r="A11" s="266">
        <v>2003</v>
      </c>
      <c r="B11" s="362">
        <v>1</v>
      </c>
      <c r="C11" s="343"/>
      <c r="D11" s="42"/>
      <c r="E11" s="42"/>
      <c r="F11" s="20"/>
      <c r="G11" s="135"/>
      <c r="H11" s="20"/>
      <c r="I11" s="157"/>
    </row>
    <row r="12" spans="1:9" ht="12.75">
      <c r="A12" s="266">
        <v>2004</v>
      </c>
      <c r="B12" s="362">
        <v>3</v>
      </c>
      <c r="C12" s="343"/>
      <c r="D12" s="42"/>
      <c r="E12" s="42"/>
      <c r="F12" s="20"/>
      <c r="G12" s="135"/>
      <c r="H12" s="20"/>
      <c r="I12" s="157"/>
    </row>
    <row r="13" spans="1:9" ht="12.75">
      <c r="A13" s="266" t="s">
        <v>367</v>
      </c>
      <c r="B13" s="362">
        <v>4</v>
      </c>
      <c r="C13" s="344">
        <f>AVERAGE(B9:B13)</f>
        <v>3.2</v>
      </c>
      <c r="D13" s="42"/>
      <c r="E13" s="42"/>
      <c r="F13" s="20"/>
      <c r="G13" s="135"/>
      <c r="H13" s="20"/>
      <c r="I13" s="157"/>
    </row>
    <row r="14" spans="1:9" ht="12.75">
      <c r="A14" s="266" t="s">
        <v>333</v>
      </c>
      <c r="B14" s="362">
        <f>SUM(C13)</f>
        <v>3.2</v>
      </c>
      <c r="C14" s="343"/>
      <c r="D14" s="42"/>
      <c r="E14" s="42"/>
      <c r="F14" s="20"/>
      <c r="G14" s="135"/>
      <c r="H14" s="20"/>
      <c r="I14" s="157"/>
    </row>
    <row r="15" spans="1:9" ht="12.75">
      <c r="A15" s="266" t="s">
        <v>334</v>
      </c>
      <c r="B15" s="362">
        <f>SUM(C13)</f>
        <v>3.2</v>
      </c>
      <c r="C15" s="343"/>
      <c r="D15" s="42"/>
      <c r="E15" s="42"/>
      <c r="F15" s="20"/>
      <c r="G15" s="135"/>
      <c r="H15" s="20"/>
      <c r="I15" s="157"/>
    </row>
    <row r="16" spans="1:9" ht="12.75">
      <c r="A16" s="267"/>
      <c r="B16" s="44"/>
      <c r="C16" s="44"/>
      <c r="D16" s="44"/>
      <c r="E16" s="43"/>
      <c r="F16" s="135"/>
      <c r="G16" s="135"/>
      <c r="H16" s="20"/>
      <c r="I16" s="157"/>
    </row>
    <row r="17" spans="1:9" ht="12.75">
      <c r="A17" s="268" t="s">
        <v>317</v>
      </c>
      <c r="B17" s="44"/>
      <c r="C17" s="44"/>
      <c r="D17" s="44"/>
      <c r="E17" s="44"/>
      <c r="F17" s="135"/>
      <c r="G17" s="135"/>
      <c r="H17" s="20"/>
      <c r="I17" s="157"/>
    </row>
    <row r="18" spans="1:9" ht="12.75">
      <c r="A18" s="269" t="s">
        <v>86</v>
      </c>
      <c r="B18" s="45"/>
      <c r="C18" s="45"/>
      <c r="D18" s="45"/>
      <c r="E18" s="45"/>
      <c r="F18" s="133"/>
      <c r="G18" s="133"/>
      <c r="H18" s="133"/>
      <c r="I18" s="162"/>
    </row>
    <row r="19" spans="1:9" ht="12.75">
      <c r="A19" s="269" t="s">
        <v>369</v>
      </c>
      <c r="B19" s="45"/>
      <c r="C19" s="45"/>
      <c r="D19" s="45"/>
      <c r="E19" s="45"/>
      <c r="F19" s="345"/>
      <c r="G19" s="133"/>
      <c r="H19" s="133"/>
      <c r="I19" s="157"/>
    </row>
    <row r="20" spans="1:9" ht="25.5" customHeight="1" thickBot="1">
      <c r="A20" s="885" t="s">
        <v>139</v>
      </c>
      <c r="B20" s="886"/>
      <c r="C20" s="886"/>
      <c r="D20" s="886"/>
      <c r="E20" s="886"/>
      <c r="F20" s="849"/>
      <c r="G20" s="849"/>
      <c r="H20" s="849"/>
      <c r="I20" s="850"/>
    </row>
    <row r="21" spans="1:9" ht="12.75">
      <c r="A21" s="346"/>
      <c r="B21" s="346"/>
      <c r="C21" s="346"/>
      <c r="D21" s="346"/>
      <c r="E21" s="346"/>
      <c r="F21" s="346"/>
      <c r="G21" s="346"/>
      <c r="H21" s="20"/>
      <c r="I21" s="20"/>
    </row>
    <row r="22" spans="1:9" ht="12.75">
      <c r="A22" s="346"/>
      <c r="B22" s="346"/>
      <c r="C22" s="346"/>
      <c r="D22" s="346"/>
      <c r="E22" s="346"/>
      <c r="F22" s="346"/>
      <c r="G22" s="346"/>
      <c r="H22" s="20"/>
      <c r="I22" s="20"/>
    </row>
    <row r="23" spans="1:9" ht="13.5" thickBot="1">
      <c r="A23" s="346"/>
      <c r="B23" s="346"/>
      <c r="C23" s="346"/>
      <c r="D23" s="346"/>
      <c r="E23" s="346"/>
      <c r="F23" s="346"/>
      <c r="G23" s="346"/>
      <c r="H23" s="20"/>
      <c r="I23" s="20"/>
    </row>
    <row r="24" spans="1:9" ht="12.75">
      <c r="A24" s="271" t="s">
        <v>140</v>
      </c>
      <c r="B24" s="155"/>
      <c r="C24" s="155"/>
      <c r="D24" s="155"/>
      <c r="E24" s="155"/>
      <c r="F24" s="297"/>
      <c r="G24" s="297"/>
      <c r="H24" s="155"/>
      <c r="I24" s="156"/>
    </row>
    <row r="25" spans="1:9" ht="12.75">
      <c r="A25" s="274"/>
      <c r="B25" s="20"/>
      <c r="C25" s="20"/>
      <c r="D25" s="20"/>
      <c r="E25" s="20"/>
      <c r="F25" s="29"/>
      <c r="G25" s="29"/>
      <c r="H25" s="20"/>
      <c r="I25" s="157"/>
    </row>
    <row r="26" spans="1:9" ht="12.75">
      <c r="A26" s="278" t="s">
        <v>350</v>
      </c>
      <c r="B26" s="57" t="s">
        <v>88</v>
      </c>
      <c r="C26" s="49" t="s">
        <v>89</v>
      </c>
      <c r="D26" s="49" t="s">
        <v>90</v>
      </c>
      <c r="E26" s="57" t="s">
        <v>400</v>
      </c>
      <c r="F26" s="279"/>
      <c r="G26" s="279"/>
      <c r="H26" s="127"/>
      <c r="I26" s="264"/>
    </row>
    <row r="27" spans="1:9" ht="12.75">
      <c r="A27" s="281"/>
      <c r="B27" s="57" t="s">
        <v>401</v>
      </c>
      <c r="C27" s="49" t="s">
        <v>371</v>
      </c>
      <c r="D27" s="49" t="s">
        <v>91</v>
      </c>
      <c r="E27" s="49" t="s">
        <v>92</v>
      </c>
      <c r="F27" s="279"/>
      <c r="G27" s="279"/>
      <c r="H27" s="127"/>
      <c r="I27" s="264"/>
    </row>
    <row r="28" spans="1:9" ht="12.75">
      <c r="A28" s="282" t="s">
        <v>370</v>
      </c>
      <c r="B28" s="96">
        <v>47</v>
      </c>
      <c r="C28" s="96">
        <v>11</v>
      </c>
      <c r="D28" s="96">
        <v>30</v>
      </c>
      <c r="E28" s="96">
        <v>6</v>
      </c>
      <c r="F28" s="283"/>
      <c r="G28" s="283"/>
      <c r="H28" s="127"/>
      <c r="I28" s="264"/>
    </row>
    <row r="29" spans="1:9" ht="12.75">
      <c r="A29" s="284" t="s">
        <v>387</v>
      </c>
      <c r="B29" s="96">
        <f>SUM(B28+B14)</f>
        <v>50.2</v>
      </c>
      <c r="C29" s="96">
        <f>SUM((1-B141)*C28+B14)</f>
        <v>8.7</v>
      </c>
      <c r="D29" s="96">
        <f>SUM(B29-C29-E29)</f>
        <v>25.5</v>
      </c>
      <c r="E29" s="96">
        <f>SUM(1/B140*D28+E28)</f>
        <v>16</v>
      </c>
      <c r="F29" s="285"/>
      <c r="G29" s="285"/>
      <c r="H29" s="127"/>
      <c r="I29" s="264"/>
    </row>
    <row r="30" spans="1:9" ht="12.75">
      <c r="A30" s="284" t="s">
        <v>388</v>
      </c>
      <c r="B30" s="96">
        <f>SUM(B29+B15)</f>
        <v>53.400000000000006</v>
      </c>
      <c r="C30" s="96">
        <f>SUM((1-B141)*C29+B15)</f>
        <v>7.55</v>
      </c>
      <c r="D30" s="96">
        <f>SUM(B30-C30-E30)</f>
        <v>21.35000000000001</v>
      </c>
      <c r="E30" s="96">
        <f>SUM(1/B140*D29+E29)</f>
        <v>24.5</v>
      </c>
      <c r="F30" s="62"/>
      <c r="G30" s="62"/>
      <c r="H30" s="127"/>
      <c r="I30" s="264"/>
    </row>
    <row r="31" spans="1:9" ht="12.75">
      <c r="A31" s="284"/>
      <c r="B31" s="96"/>
      <c r="C31" s="96"/>
      <c r="D31" s="96"/>
      <c r="E31" s="96"/>
      <c r="F31" s="50"/>
      <c r="G31" s="50"/>
      <c r="H31" s="127"/>
      <c r="I31" s="264"/>
    </row>
    <row r="32" spans="1:9" ht="12.75">
      <c r="A32" s="286" t="s">
        <v>330</v>
      </c>
      <c r="B32" s="50"/>
      <c r="C32" s="50"/>
      <c r="D32" s="50"/>
      <c r="E32" s="50"/>
      <c r="F32" s="50"/>
      <c r="G32" s="50"/>
      <c r="H32" s="127"/>
      <c r="I32" s="264"/>
    </row>
    <row r="33" spans="1:9" ht="12.75">
      <c r="A33" s="287" t="s">
        <v>141</v>
      </c>
      <c r="B33" s="50"/>
      <c r="C33" s="50"/>
      <c r="D33" s="50"/>
      <c r="E33" s="50"/>
      <c r="F33" s="50"/>
      <c r="G33" s="50"/>
      <c r="H33" s="127"/>
      <c r="I33" s="264"/>
    </row>
    <row r="34" spans="1:9" ht="12.75">
      <c r="A34" s="287" t="s">
        <v>391</v>
      </c>
      <c r="B34" s="50"/>
      <c r="C34" s="50"/>
      <c r="D34" s="50"/>
      <c r="E34" s="50"/>
      <c r="F34" s="50"/>
      <c r="G34" s="50"/>
      <c r="H34" s="127"/>
      <c r="I34" s="264"/>
    </row>
    <row r="35" spans="1:9" ht="24.75" customHeight="1">
      <c r="A35" s="887" t="s">
        <v>142</v>
      </c>
      <c r="B35" s="908"/>
      <c r="C35" s="908"/>
      <c r="D35" s="908"/>
      <c r="E35" s="908"/>
      <c r="F35" s="823"/>
      <c r="G35" s="823"/>
      <c r="H35" s="823"/>
      <c r="I35" s="824"/>
    </row>
    <row r="36" spans="1:9" ht="13.5" thickBot="1">
      <c r="A36" s="889" t="s">
        <v>165</v>
      </c>
      <c r="B36" s="849"/>
      <c r="C36" s="849"/>
      <c r="D36" s="849"/>
      <c r="E36" s="849"/>
      <c r="F36" s="849"/>
      <c r="G36" s="849"/>
      <c r="H36" s="849"/>
      <c r="I36" s="850"/>
    </row>
    <row r="37" spans="1:9" ht="12.75">
      <c r="A37" s="2"/>
      <c r="B37" s="2"/>
      <c r="C37" s="2"/>
      <c r="D37" s="2"/>
      <c r="E37" s="2"/>
      <c r="F37" s="2"/>
      <c r="G37" s="2"/>
      <c r="H37" s="20"/>
      <c r="I37" s="20"/>
    </row>
    <row r="38" spans="1:9" ht="13.5" thickBot="1">
      <c r="A38" s="2"/>
      <c r="B38" s="2"/>
      <c r="C38" s="2"/>
      <c r="D38" s="2"/>
      <c r="E38" s="2"/>
      <c r="F38" s="714" t="s">
        <v>364</v>
      </c>
      <c r="G38" s="2"/>
      <c r="H38" s="20"/>
      <c r="I38" s="20"/>
    </row>
    <row r="39" spans="1:9" ht="12.75">
      <c r="A39" s="261" t="s">
        <v>166</v>
      </c>
      <c r="B39" s="155"/>
      <c r="C39" s="155"/>
      <c r="D39" s="155"/>
      <c r="E39" s="155"/>
      <c r="F39" s="155"/>
      <c r="G39" s="155"/>
      <c r="H39" s="366"/>
      <c r="I39" s="156"/>
    </row>
    <row r="40" spans="1:9" ht="12.75">
      <c r="A40" s="361"/>
      <c r="B40" s="20"/>
      <c r="C40" s="20"/>
      <c r="D40" s="20"/>
      <c r="E40" s="20"/>
      <c r="F40" s="20"/>
      <c r="G40" s="20"/>
      <c r="H40" s="347"/>
      <c r="I40" s="157"/>
    </row>
    <row r="41" spans="1:9" ht="48">
      <c r="A41" s="265" t="s">
        <v>328</v>
      </c>
      <c r="B41" s="41" t="s">
        <v>167</v>
      </c>
      <c r="C41" s="41" t="s">
        <v>329</v>
      </c>
      <c r="D41" s="41" t="s">
        <v>121</v>
      </c>
      <c r="E41" s="41" t="s">
        <v>385</v>
      </c>
      <c r="F41" s="41" t="s">
        <v>97</v>
      </c>
      <c r="G41" s="127"/>
      <c r="H41" s="50"/>
      <c r="I41" s="264"/>
    </row>
    <row r="42" spans="1:9" ht="12.75">
      <c r="A42" s="265"/>
      <c r="B42" s="41"/>
      <c r="C42" s="41"/>
      <c r="D42" s="41"/>
      <c r="E42" s="41"/>
      <c r="F42" s="41"/>
      <c r="G42" s="127"/>
      <c r="H42" s="50"/>
      <c r="I42" s="264"/>
    </row>
    <row r="43" spans="1:9" ht="12.75">
      <c r="A43" s="291">
        <v>2008</v>
      </c>
      <c r="B43" s="53">
        <f>SUM(B30+C43)</f>
        <v>56.60000000000001</v>
      </c>
      <c r="C43" s="53">
        <f>SUM(C13)</f>
        <v>3.2</v>
      </c>
      <c r="D43" s="241">
        <f>SUM((C30)*(1-B141)+C43)</f>
        <v>6.975</v>
      </c>
      <c r="E43" s="53">
        <f aca="true" t="shared" si="0" ref="E43:E65">SUM(B43+C43-D43-F43)</f>
        <v>21.208333333333343</v>
      </c>
      <c r="F43" s="53">
        <f>SUM(1/B140*D30+E30)</f>
        <v>31.616666666666667</v>
      </c>
      <c r="G43" s="127"/>
      <c r="H43" s="50"/>
      <c r="I43" s="264"/>
    </row>
    <row r="44" spans="1:9" ht="12.75">
      <c r="A44" s="291">
        <v>2009</v>
      </c>
      <c r="B44" s="53">
        <f aca="true" t="shared" si="1" ref="B44:B65">SUM(B43+C44)</f>
        <v>59.80000000000001</v>
      </c>
      <c r="C44" s="53">
        <f>SUM(C13)</f>
        <v>3.2</v>
      </c>
      <c r="D44" s="241">
        <f>SUM(D43*(1-B141)+C44)</f>
        <v>6.6875</v>
      </c>
      <c r="E44" s="53">
        <f t="shared" si="0"/>
        <v>17.626388888888897</v>
      </c>
      <c r="F44" s="53">
        <f>SUM(1/B140*E43+F43)</f>
        <v>38.68611111111112</v>
      </c>
      <c r="G44" s="127"/>
      <c r="H44" s="50"/>
      <c r="I44" s="264"/>
    </row>
    <row r="45" spans="1:9" ht="12.75">
      <c r="A45" s="291">
        <v>2010</v>
      </c>
      <c r="B45" s="53">
        <f t="shared" si="1"/>
        <v>63.000000000000014</v>
      </c>
      <c r="C45" s="53">
        <f>SUM(C13)</f>
        <v>3.2</v>
      </c>
      <c r="D45" s="241">
        <f>SUM(D44*(1-B141)+C45)</f>
        <v>6.54375</v>
      </c>
      <c r="E45" s="53">
        <f t="shared" si="0"/>
        <v>15.094675925925934</v>
      </c>
      <c r="F45" s="53">
        <f>SUM(1/B140*E44+F44)</f>
        <v>44.56157407407408</v>
      </c>
      <c r="G45" s="127"/>
      <c r="H45" s="50"/>
      <c r="I45" s="264"/>
    </row>
    <row r="46" spans="1:9" ht="12.75">
      <c r="A46" s="291">
        <v>2011</v>
      </c>
      <c r="B46" s="53">
        <f t="shared" si="1"/>
        <v>66.20000000000002</v>
      </c>
      <c r="C46" s="53">
        <f>SUM(C13)</f>
        <v>3.2</v>
      </c>
      <c r="D46" s="241">
        <f>SUM(D45*(1-B141)+C46)</f>
        <v>6.471875000000001</v>
      </c>
      <c r="E46" s="53">
        <f t="shared" si="0"/>
        <v>13.334992283950633</v>
      </c>
      <c r="F46" s="53">
        <f>SUM(1/B140*E45+F45)</f>
        <v>49.59313271604939</v>
      </c>
      <c r="G46" s="127"/>
      <c r="H46" s="50"/>
      <c r="I46" s="264"/>
    </row>
    <row r="47" spans="1:9" ht="12.75">
      <c r="A47" s="291">
        <v>2012</v>
      </c>
      <c r="B47" s="53">
        <f t="shared" si="1"/>
        <v>69.40000000000002</v>
      </c>
      <c r="C47" s="53">
        <f>SUM(C13)</f>
        <v>3.2</v>
      </c>
      <c r="D47" s="241">
        <f>SUM(D46*(1-B141)+C47)</f>
        <v>6.4359375000000005</v>
      </c>
      <c r="E47" s="53">
        <f t="shared" si="0"/>
        <v>12.125932355967095</v>
      </c>
      <c r="F47" s="53">
        <f>SUM(1/B140*E46+F46)</f>
        <v>54.038130144032934</v>
      </c>
      <c r="G47" s="127"/>
      <c r="H47" s="50"/>
      <c r="I47" s="264"/>
    </row>
    <row r="48" spans="1:9" ht="12.75">
      <c r="A48" s="291">
        <v>2013</v>
      </c>
      <c r="B48" s="53">
        <f t="shared" si="1"/>
        <v>72.60000000000002</v>
      </c>
      <c r="C48" s="53">
        <f>SUM(C13)</f>
        <v>3.2</v>
      </c>
      <c r="D48" s="241">
        <f>SUM(D47*(1-B141)+C48)</f>
        <v>6.41796875</v>
      </c>
      <c r="E48" s="53">
        <f t="shared" si="0"/>
        <v>11.301923653978058</v>
      </c>
      <c r="F48" s="53">
        <f>SUM(1/B140*E47+F47)</f>
        <v>58.08010759602197</v>
      </c>
      <c r="G48" s="127"/>
      <c r="H48" s="50"/>
      <c r="I48" s="264"/>
    </row>
    <row r="49" spans="1:9" ht="12.75">
      <c r="A49" s="291">
        <v>2014</v>
      </c>
      <c r="B49" s="53">
        <f t="shared" si="1"/>
        <v>75.80000000000003</v>
      </c>
      <c r="C49" s="53">
        <f>SUM(C13)</f>
        <v>3.2</v>
      </c>
      <c r="D49" s="241">
        <f>SUM(D48*(1-B141)+C49)</f>
        <v>6.408984375</v>
      </c>
      <c r="E49" s="53">
        <f t="shared" si="0"/>
        <v>10.743600144318705</v>
      </c>
      <c r="F49" s="53">
        <f>SUM(1/B140*E48+F48)</f>
        <v>61.84741548068132</v>
      </c>
      <c r="G49" s="127"/>
      <c r="H49" s="50"/>
      <c r="I49" s="264"/>
    </row>
    <row r="50" spans="1:9" ht="12.75">
      <c r="A50" s="291">
        <v>2015</v>
      </c>
      <c r="B50" s="53">
        <f t="shared" si="1"/>
        <v>79.00000000000003</v>
      </c>
      <c r="C50" s="53">
        <f>SUM(C13)</f>
        <v>3.2</v>
      </c>
      <c r="D50" s="241">
        <f>SUM(D49*(1-B141)+C50)</f>
        <v>6.404492187500001</v>
      </c>
      <c r="E50" s="53">
        <f t="shared" si="0"/>
        <v>10.366892283712474</v>
      </c>
      <c r="F50" s="53">
        <f>SUM(1/B140*E49+F49)</f>
        <v>65.42861552878756</v>
      </c>
      <c r="G50" s="127"/>
      <c r="H50" s="50"/>
      <c r="I50" s="264"/>
    </row>
    <row r="51" spans="1:9" ht="12.75">
      <c r="A51" s="291">
        <v>2016</v>
      </c>
      <c r="B51" s="53">
        <f t="shared" si="1"/>
        <v>82.20000000000003</v>
      </c>
      <c r="C51" s="53">
        <f>SUM(C13)</f>
        <v>3.2</v>
      </c>
      <c r="D51" s="241">
        <f>SUM(D50*(1-B141)+C51)</f>
        <v>6.4022460937500005</v>
      </c>
      <c r="E51" s="53">
        <f t="shared" si="0"/>
        <v>10.113507616224993</v>
      </c>
      <c r="F51" s="53">
        <f>SUM(1/B140*E50+F50)</f>
        <v>68.88424629002505</v>
      </c>
      <c r="G51" s="127"/>
      <c r="H51" s="50"/>
      <c r="I51" s="264"/>
    </row>
    <row r="52" spans="1:9" ht="12.75">
      <c r="A52" s="291">
        <v>2017</v>
      </c>
      <c r="B52" s="53">
        <f t="shared" si="1"/>
        <v>85.40000000000003</v>
      </c>
      <c r="C52" s="53">
        <f>SUM(C13)</f>
        <v>3.2</v>
      </c>
      <c r="D52" s="241">
        <f>SUM(D51*(1-B141)+C52)</f>
        <v>6.401123046875</v>
      </c>
      <c r="E52" s="53">
        <f t="shared" si="0"/>
        <v>9.943461457691654</v>
      </c>
      <c r="F52" s="53">
        <f>SUM(1/B140*E51+F51)</f>
        <v>72.25541549543338</v>
      </c>
      <c r="G52" s="127"/>
      <c r="H52" s="50"/>
      <c r="I52" s="264"/>
    </row>
    <row r="53" spans="1:9" ht="12.75">
      <c r="A53" s="291">
        <v>2018</v>
      </c>
      <c r="B53" s="53">
        <f t="shared" si="1"/>
        <v>88.60000000000004</v>
      </c>
      <c r="C53" s="53">
        <f>SUM(C13)</f>
        <v>3.2</v>
      </c>
      <c r="D53" s="241">
        <f>SUM(D52*(1-B141)+C53)</f>
        <v>6.4005615234375</v>
      </c>
      <c r="E53" s="53">
        <f t="shared" si="0"/>
        <v>9.82953582856527</v>
      </c>
      <c r="F53" s="53">
        <f>SUM(1/B140*E52+F52)</f>
        <v>75.56990264799727</v>
      </c>
      <c r="G53" s="127"/>
      <c r="H53" s="50"/>
      <c r="I53" s="264"/>
    </row>
    <row r="54" spans="1:9" ht="12.75">
      <c r="A54" s="291">
        <v>2019</v>
      </c>
      <c r="B54" s="53">
        <f t="shared" si="1"/>
        <v>91.80000000000004</v>
      </c>
      <c r="C54" s="53">
        <f>SUM(C13)</f>
        <v>3.2</v>
      </c>
      <c r="D54" s="241">
        <f>SUM(D53*(1-B141)+C54)</f>
        <v>6.400280761718751</v>
      </c>
      <c r="E54" s="53">
        <f t="shared" si="0"/>
        <v>9.753304647428934</v>
      </c>
      <c r="F54" s="53">
        <f>SUM(1/B140*E53+F53)</f>
        <v>78.84641459085236</v>
      </c>
      <c r="G54" s="127"/>
      <c r="H54" s="50"/>
      <c r="I54" s="264"/>
    </row>
    <row r="55" spans="1:9" ht="12.75">
      <c r="A55" s="291">
        <v>2020</v>
      </c>
      <c r="B55" s="53">
        <f t="shared" si="1"/>
        <v>95.00000000000004</v>
      </c>
      <c r="C55" s="53">
        <f>SUM(C13)</f>
        <v>3.2</v>
      </c>
      <c r="D55" s="241">
        <f>SUM(D54*(1-B141)+C55)</f>
        <v>6.4001403808593755</v>
      </c>
      <c r="E55" s="53">
        <f t="shared" si="0"/>
        <v>9.702343479145341</v>
      </c>
      <c r="F55" s="53">
        <f>SUM(1/B140*E54+F54)</f>
        <v>82.09751613999534</v>
      </c>
      <c r="G55" s="127"/>
      <c r="H55" s="50"/>
      <c r="I55" s="264"/>
    </row>
    <row r="56" spans="1:9" ht="12.75">
      <c r="A56" s="291">
        <v>2021</v>
      </c>
      <c r="B56" s="53">
        <f t="shared" si="1"/>
        <v>98.20000000000005</v>
      </c>
      <c r="C56" s="53">
        <f>SUM(C13)</f>
        <v>3.2</v>
      </c>
      <c r="D56" s="241">
        <f>SUM(D55*(1-B141)+C56)</f>
        <v>6.4000701904296875</v>
      </c>
      <c r="E56" s="53">
        <f t="shared" si="0"/>
        <v>9.668299176526574</v>
      </c>
      <c r="F56" s="53">
        <f>SUM(1/B140*E55+F55)</f>
        <v>85.33163063304379</v>
      </c>
      <c r="G56" s="127"/>
      <c r="H56" s="50"/>
      <c r="I56" s="264"/>
    </row>
    <row r="57" spans="1:9" ht="12.75">
      <c r="A57" s="291">
        <v>2022</v>
      </c>
      <c r="B57" s="53">
        <f t="shared" si="1"/>
        <v>101.40000000000005</v>
      </c>
      <c r="C57" s="53">
        <f>SUM(C13)</f>
        <v>3.2</v>
      </c>
      <c r="D57" s="241">
        <f>SUM(D56*(1-B141)+C57)</f>
        <v>6.400035095214844</v>
      </c>
      <c r="E57" s="53">
        <f t="shared" si="0"/>
        <v>9.645567879565888</v>
      </c>
      <c r="F57" s="53">
        <f>SUM(1/B140*E56+F56)</f>
        <v>88.55439702521932</v>
      </c>
      <c r="G57" s="127"/>
      <c r="H57" s="50"/>
      <c r="I57" s="264"/>
    </row>
    <row r="58" spans="1:9" ht="12.75">
      <c r="A58" s="291">
        <v>2023</v>
      </c>
      <c r="B58" s="53">
        <f t="shared" si="1"/>
        <v>104.60000000000005</v>
      </c>
      <c r="C58" s="53">
        <f>SUM(C13)</f>
        <v>3.2</v>
      </c>
      <c r="D58" s="241">
        <f>SUM(D57*(1-B141)+C58)</f>
        <v>6.400017547607423</v>
      </c>
      <c r="E58" s="53">
        <f t="shared" si="0"/>
        <v>9.63039613398469</v>
      </c>
      <c r="F58" s="53">
        <f>SUM(1/B140*E57+F57)</f>
        <v>91.76958631840795</v>
      </c>
      <c r="G58" s="127"/>
      <c r="H58" s="50"/>
      <c r="I58" s="264"/>
    </row>
    <row r="59" spans="1:9" ht="12.75">
      <c r="A59" s="291">
        <v>2024</v>
      </c>
      <c r="B59" s="53">
        <f t="shared" si="1"/>
        <v>107.80000000000005</v>
      </c>
      <c r="C59" s="53">
        <f>SUM(C13)</f>
        <v>3.2</v>
      </c>
      <c r="D59" s="241">
        <f>SUM(D58*(1-B141)+C59)</f>
        <v>6.4000087738037115</v>
      </c>
      <c r="E59" s="53">
        <f t="shared" si="0"/>
        <v>9.620272863126843</v>
      </c>
      <c r="F59" s="53">
        <f>SUM(1/B140*E58+F58)</f>
        <v>94.97971836306951</v>
      </c>
      <c r="G59" s="127"/>
      <c r="H59" s="50"/>
      <c r="I59" s="264"/>
    </row>
    <row r="60" spans="1:9" ht="12.75">
      <c r="A60" s="291">
        <v>2025</v>
      </c>
      <c r="B60" s="53">
        <f t="shared" si="1"/>
        <v>111.00000000000006</v>
      </c>
      <c r="C60" s="53">
        <f>SUM(C13)</f>
        <v>3.2</v>
      </c>
      <c r="D60" s="241">
        <f>SUM(D59*(1-B141)+C60)</f>
        <v>6.4000043869018555</v>
      </c>
      <c r="E60" s="53">
        <f t="shared" si="0"/>
        <v>9.61351962898641</v>
      </c>
      <c r="F60" s="53">
        <f>SUM(1/B140*E59+F59)</f>
        <v>98.1864759841118</v>
      </c>
      <c r="G60" s="127"/>
      <c r="H60" s="50"/>
      <c r="I60" s="264"/>
    </row>
    <row r="61" spans="1:9" ht="12.75">
      <c r="A61" s="291">
        <v>2026</v>
      </c>
      <c r="B61" s="53">
        <f t="shared" si="1"/>
        <v>114.20000000000006</v>
      </c>
      <c r="C61" s="53">
        <f>SUM(C13)</f>
        <v>3.2</v>
      </c>
      <c r="D61" s="241">
        <f>SUM(D60*(1-B141)+C61)</f>
        <v>6.400002193450928</v>
      </c>
      <c r="E61" s="53">
        <f t="shared" si="0"/>
        <v>9.609015279441863</v>
      </c>
      <c r="F61" s="53">
        <f>SUM(1/B140*E60+F60)</f>
        <v>101.39098252710727</v>
      </c>
      <c r="G61" s="127"/>
      <c r="H61" s="50"/>
      <c r="I61" s="264"/>
    </row>
    <row r="62" spans="1:9" ht="12.75">
      <c r="A62" s="291">
        <v>2027</v>
      </c>
      <c r="B62" s="53">
        <f t="shared" si="1"/>
        <v>117.40000000000006</v>
      </c>
      <c r="C62" s="53">
        <f>SUM(C13)</f>
        <v>3.2</v>
      </c>
      <c r="D62" s="241">
        <f>SUM(D61*(1-B141)+C62)</f>
        <v>6.400001096725465</v>
      </c>
      <c r="E62" s="53">
        <f t="shared" si="0"/>
        <v>9.606011283020052</v>
      </c>
      <c r="F62" s="53">
        <f>SUM(1/B140*E61+F61)</f>
        <v>104.59398762025455</v>
      </c>
      <c r="G62" s="127"/>
      <c r="H62" s="50"/>
      <c r="I62" s="264"/>
    </row>
    <row r="63" spans="1:9" ht="12.75">
      <c r="A63" s="291">
        <v>2028</v>
      </c>
      <c r="B63" s="53">
        <f t="shared" si="1"/>
        <v>120.60000000000007</v>
      </c>
      <c r="C63" s="53">
        <f>SUM(C13)</f>
        <v>3.2</v>
      </c>
      <c r="D63" s="241">
        <f>SUM(D62*(1-B141)+C63)</f>
        <v>6.4000005483627325</v>
      </c>
      <c r="E63" s="53">
        <f t="shared" si="0"/>
        <v>9.60400807037611</v>
      </c>
      <c r="F63" s="53">
        <f>SUM(1/B140*E62+F62)</f>
        <v>107.79599138126123</v>
      </c>
      <c r="G63" s="127"/>
      <c r="H63" s="127"/>
      <c r="I63" s="264"/>
    </row>
    <row r="64" spans="1:9" ht="12.75">
      <c r="A64" s="291">
        <v>2029</v>
      </c>
      <c r="B64" s="53">
        <f t="shared" si="1"/>
        <v>123.80000000000007</v>
      </c>
      <c r="C64" s="53">
        <f>SUM(C13)</f>
        <v>3.2</v>
      </c>
      <c r="D64" s="241">
        <f>SUM(D63*(1-B141)+C64)</f>
        <v>6.400000274181366</v>
      </c>
      <c r="E64" s="53">
        <f t="shared" si="0"/>
        <v>9.602672321098765</v>
      </c>
      <c r="F64" s="53">
        <f>SUM(1/B140*E63+F63)</f>
        <v>110.99732740471994</v>
      </c>
      <c r="G64" s="127"/>
      <c r="H64" s="127"/>
      <c r="I64" s="264"/>
    </row>
    <row r="65" spans="1:9" ht="12.75">
      <c r="A65" s="291">
        <v>2030</v>
      </c>
      <c r="B65" s="53">
        <f t="shared" si="1"/>
        <v>127.00000000000007</v>
      </c>
      <c r="C65" s="53">
        <f>SUM(C13)</f>
        <v>3.2</v>
      </c>
      <c r="D65" s="241">
        <f>SUM(D64*(1-B141)+C65)</f>
        <v>6.400000137090683</v>
      </c>
      <c r="E65" s="53">
        <f t="shared" si="0"/>
        <v>9.601781684489865</v>
      </c>
      <c r="F65" s="53">
        <f>SUM(1/B140*E64+F64)</f>
        <v>114.19821817841952</v>
      </c>
      <c r="G65" s="127"/>
      <c r="H65" s="127"/>
      <c r="I65" s="264"/>
    </row>
    <row r="66" spans="1:9" ht="12.75">
      <c r="A66" s="292" t="s">
        <v>331</v>
      </c>
      <c r="B66" s="54"/>
      <c r="C66" s="55">
        <f>SUM(C43:C65)</f>
        <v>73.60000000000002</v>
      </c>
      <c r="D66" s="54"/>
      <c r="E66" s="55"/>
      <c r="F66" s="53"/>
      <c r="G66" s="127"/>
      <c r="H66" s="127"/>
      <c r="I66" s="264"/>
    </row>
    <row r="67" spans="1:9" ht="12.75">
      <c r="A67" s="292" t="s">
        <v>332</v>
      </c>
      <c r="B67" s="54"/>
      <c r="C67" s="124">
        <f>AVERAGE(C43:C65)</f>
        <v>3.200000000000001</v>
      </c>
      <c r="D67" s="54"/>
      <c r="E67" s="124">
        <f>AVERAGE(E43:E65)</f>
        <v>11.188975487815146</v>
      </c>
      <c r="F67" s="53"/>
      <c r="G67" s="127"/>
      <c r="H67" s="127"/>
      <c r="I67" s="264"/>
    </row>
    <row r="68" spans="1:9" ht="12.75">
      <c r="A68" s="263"/>
      <c r="B68" s="42"/>
      <c r="C68" s="42"/>
      <c r="D68" s="42"/>
      <c r="E68" s="42"/>
      <c r="F68" s="201"/>
      <c r="G68" s="201"/>
      <c r="H68" s="127"/>
      <c r="I68" s="264"/>
    </row>
    <row r="69" spans="1:9" ht="12.75">
      <c r="A69" s="293" t="s">
        <v>317</v>
      </c>
      <c r="B69" s="42"/>
      <c r="C69" s="42"/>
      <c r="D69" s="42"/>
      <c r="E69" s="42"/>
      <c r="F69" s="201"/>
      <c r="G69" s="201"/>
      <c r="H69" s="127"/>
      <c r="I69" s="264"/>
    </row>
    <row r="70" spans="1:9" ht="12.75">
      <c r="A70" s="890" t="s">
        <v>98</v>
      </c>
      <c r="B70" s="823"/>
      <c r="C70" s="823"/>
      <c r="D70" s="823"/>
      <c r="E70" s="823"/>
      <c r="F70" s="823"/>
      <c r="G70" s="767"/>
      <c r="H70" s="767"/>
      <c r="I70" s="824"/>
    </row>
    <row r="71" spans="1:9" ht="12.75">
      <c r="A71" s="902" t="s">
        <v>99</v>
      </c>
      <c r="B71" s="767"/>
      <c r="C71" s="767"/>
      <c r="D71" s="767"/>
      <c r="E71" s="767"/>
      <c r="F71" s="767"/>
      <c r="G71" s="767"/>
      <c r="H71" s="767"/>
      <c r="I71" s="824"/>
    </row>
    <row r="72" spans="1:9" ht="12.75">
      <c r="A72" s="890" t="s">
        <v>181</v>
      </c>
      <c r="B72" s="903"/>
      <c r="C72" s="903"/>
      <c r="D72" s="903"/>
      <c r="E72" s="903"/>
      <c r="F72" s="903"/>
      <c r="G72" s="201"/>
      <c r="H72" s="127"/>
      <c r="I72" s="264"/>
    </row>
    <row r="73" spans="1:9" ht="13.5" thickBot="1">
      <c r="A73" s="367" t="s">
        <v>182</v>
      </c>
      <c r="B73" s="368"/>
      <c r="C73" s="368"/>
      <c r="D73" s="368"/>
      <c r="E73" s="368"/>
      <c r="F73" s="368"/>
      <c r="G73" s="368"/>
      <c r="H73" s="163"/>
      <c r="I73" s="369"/>
    </row>
    <row r="74" spans="1:9" ht="12.75">
      <c r="A74" s="348"/>
      <c r="B74" s="348"/>
      <c r="C74" s="348"/>
      <c r="D74" s="348"/>
      <c r="E74" s="348"/>
      <c r="F74" s="348"/>
      <c r="G74" s="348"/>
      <c r="H74" s="29"/>
      <c r="I74" s="29"/>
    </row>
    <row r="75" spans="1:9" ht="13.5" thickBot="1">
      <c r="A75" s="348"/>
      <c r="B75" s="348"/>
      <c r="C75" s="348"/>
      <c r="D75" s="348"/>
      <c r="E75" s="348"/>
      <c r="F75" s="714" t="s">
        <v>364</v>
      </c>
      <c r="G75" s="348"/>
      <c r="H75" s="29"/>
      <c r="I75" s="29"/>
    </row>
    <row r="76" spans="1:9" ht="12.75">
      <c r="A76" s="372" t="s">
        <v>168</v>
      </c>
      <c r="B76" s="373"/>
      <c r="C76" s="373"/>
      <c r="D76" s="373"/>
      <c r="E76" s="373"/>
      <c r="F76" s="374"/>
      <c r="G76" s="374"/>
      <c r="H76" s="297"/>
      <c r="I76" s="331"/>
    </row>
    <row r="77" spans="1:9" ht="12.75">
      <c r="A77" s="375"/>
      <c r="B77" s="349"/>
      <c r="C77" s="349"/>
      <c r="D77" s="349"/>
      <c r="E77" s="349"/>
      <c r="F77" s="349"/>
      <c r="G77" s="349"/>
      <c r="H77" s="245"/>
      <c r="I77" s="315"/>
    </row>
    <row r="78" spans="1:9" ht="12.75">
      <c r="A78" s="376" t="s">
        <v>359</v>
      </c>
      <c r="B78" s="57" t="s">
        <v>20</v>
      </c>
      <c r="C78" s="57" t="s">
        <v>377</v>
      </c>
      <c r="D78" s="57" t="s">
        <v>351</v>
      </c>
      <c r="E78" s="57" t="s">
        <v>354</v>
      </c>
      <c r="F78" s="58" t="s">
        <v>355</v>
      </c>
      <c r="G78" s="377" t="s">
        <v>354</v>
      </c>
      <c r="H78" s="58" t="s">
        <v>355</v>
      </c>
      <c r="I78" s="317" t="s">
        <v>355</v>
      </c>
    </row>
    <row r="79" spans="1:9" ht="12.75">
      <c r="A79" s="376" t="s">
        <v>361</v>
      </c>
      <c r="B79" s="57" t="s">
        <v>276</v>
      </c>
      <c r="C79" s="57" t="s">
        <v>354</v>
      </c>
      <c r="D79" s="57" t="s">
        <v>352</v>
      </c>
      <c r="E79" s="57" t="s">
        <v>25</v>
      </c>
      <c r="F79" s="58" t="s">
        <v>279</v>
      </c>
      <c r="G79" s="377" t="s">
        <v>353</v>
      </c>
      <c r="H79" s="58" t="s">
        <v>279</v>
      </c>
      <c r="I79" s="317" t="s">
        <v>8</v>
      </c>
    </row>
    <row r="80" spans="1:9" ht="12.75">
      <c r="A80" s="378"/>
      <c r="B80" s="57" t="s">
        <v>275</v>
      </c>
      <c r="C80" s="57" t="s">
        <v>26</v>
      </c>
      <c r="D80" s="57"/>
      <c r="E80" s="57" t="s">
        <v>382</v>
      </c>
      <c r="F80" s="58" t="s">
        <v>382</v>
      </c>
      <c r="G80" s="377" t="s">
        <v>352</v>
      </c>
      <c r="H80" s="58" t="s">
        <v>382</v>
      </c>
      <c r="I80" s="317" t="s">
        <v>9</v>
      </c>
    </row>
    <row r="81" spans="1:9" ht="12.75">
      <c r="A81" s="378"/>
      <c r="B81" s="57"/>
      <c r="C81" s="57" t="s">
        <v>360</v>
      </c>
      <c r="D81" s="57" t="s">
        <v>356</v>
      </c>
      <c r="E81" s="57" t="s">
        <v>381</v>
      </c>
      <c r="F81" s="58" t="s">
        <v>414</v>
      </c>
      <c r="G81" s="377" t="s">
        <v>2</v>
      </c>
      <c r="H81" s="58" t="s">
        <v>7</v>
      </c>
      <c r="I81" s="317" t="s">
        <v>7</v>
      </c>
    </row>
    <row r="82" spans="1:9" ht="12.75">
      <c r="A82" s="375"/>
      <c r="B82" s="349"/>
      <c r="C82" s="351"/>
      <c r="D82" s="349"/>
      <c r="E82" s="351"/>
      <c r="F82" s="351"/>
      <c r="G82" s="379"/>
      <c r="H82" s="245"/>
      <c r="I82" s="332"/>
    </row>
    <row r="83" spans="1:9" ht="12.75">
      <c r="A83" s="375" t="s">
        <v>169</v>
      </c>
      <c r="B83" s="352">
        <f>B143</f>
        <v>10</v>
      </c>
      <c r="C83" s="256">
        <f>SUM(B83*Summary!D82)</f>
        <v>1435493.07</v>
      </c>
      <c r="D83" s="353">
        <f>SUM(B140)</f>
        <v>3</v>
      </c>
      <c r="E83" s="353">
        <f>C83*D83</f>
        <v>4306479.21</v>
      </c>
      <c r="F83" s="61">
        <f>SUM(E83*Summary!D72*Summary!D76)</f>
        <v>5899876.517700001</v>
      </c>
      <c r="G83" s="306">
        <f>SUM(E83*Summary!D73)</f>
        <v>393612.19979399996</v>
      </c>
      <c r="H83" s="370">
        <f>SUM(F83/Summary!D74)</f>
        <v>2676.1421549745537</v>
      </c>
      <c r="I83" s="338">
        <f>SUM(H83/D83)</f>
        <v>892.0473849915179</v>
      </c>
    </row>
    <row r="84" spans="1:9" ht="12.75">
      <c r="A84" s="380" t="s">
        <v>170</v>
      </c>
      <c r="B84" s="354">
        <f>B144</f>
        <v>1</v>
      </c>
      <c r="C84" s="355">
        <f>SUM(B84*Summary!D81)</f>
        <v>107661.4308</v>
      </c>
      <c r="D84" s="355">
        <f>SUM(B140)</f>
        <v>3</v>
      </c>
      <c r="E84" s="355">
        <f>C84*D84</f>
        <v>322984.29240000003</v>
      </c>
      <c r="F84" s="61">
        <f>SUM(E84*Summary!D72*Summary!D76)</f>
        <v>442488.4805880001</v>
      </c>
      <c r="G84" s="306">
        <f>SUM(E84*Summary!D73)</f>
        <v>29520.76432536</v>
      </c>
      <c r="H84" s="370">
        <f>SUM(F84/Summary!D74)</f>
        <v>200.70963730166656</v>
      </c>
      <c r="I84" s="338">
        <f>SUM(H84/D84)</f>
        <v>66.90321243388885</v>
      </c>
    </row>
    <row r="85" spans="1:9" ht="12.75">
      <c r="A85" s="380" t="s">
        <v>101</v>
      </c>
      <c r="B85" s="354">
        <f>B145</f>
        <v>1</v>
      </c>
      <c r="C85" s="355">
        <f>SUM(B85*Summary!D84*B142/2000)</f>
        <v>3604.392</v>
      </c>
      <c r="D85" s="355">
        <f>SUM(B140)</f>
        <v>3</v>
      </c>
      <c r="E85" s="355">
        <f>C85*D85</f>
        <v>10813.176</v>
      </c>
      <c r="F85" s="61">
        <f>SUM(E85*Summary!D72*Summary!D76)</f>
        <v>14814.05112</v>
      </c>
      <c r="G85" s="306">
        <f>SUM(E85*Summary!D73)</f>
        <v>988.3242863999999</v>
      </c>
      <c r="H85" s="370">
        <f>SUM(F85/Summary!D74)</f>
        <v>6.719548548049097</v>
      </c>
      <c r="I85" s="338">
        <f>SUM(H85/D85)</f>
        <v>2.2398495160163656</v>
      </c>
    </row>
    <row r="86" spans="1:9" ht="12.75">
      <c r="A86" s="380" t="s">
        <v>102</v>
      </c>
      <c r="B86" s="354">
        <f>B146</f>
        <v>1</v>
      </c>
      <c r="C86" s="355">
        <f>SUM(B147)</f>
        <v>89717.4927</v>
      </c>
      <c r="D86" s="355">
        <f>SUM(B140)</f>
        <v>3</v>
      </c>
      <c r="E86" s="355">
        <f>C86*D86</f>
        <v>269152.4781</v>
      </c>
      <c r="F86" s="61">
        <f>SUM(E86*Summary!D72*Summary!D76)</f>
        <v>368738.89499700005</v>
      </c>
      <c r="G86" s="306">
        <f>SUM(E86*Summary!D73)</f>
        <v>24600.53649834</v>
      </c>
      <c r="H86" s="370">
        <f>SUM(F86/Summary!D74)</f>
        <v>167.25734820377212</v>
      </c>
      <c r="I86" s="338">
        <f>SUM(H86/D86)</f>
        <v>55.75244940125737</v>
      </c>
    </row>
    <row r="87" spans="1:9" ht="12.75">
      <c r="A87" s="381" t="s">
        <v>14</v>
      </c>
      <c r="B87" s="60">
        <v>1</v>
      </c>
      <c r="C87" s="61">
        <f>SUM(B86*B148)</f>
        <v>32967</v>
      </c>
      <c r="D87" s="61">
        <f>SUM(B140)</f>
        <v>3</v>
      </c>
      <c r="E87" s="61">
        <f>C87*D87</f>
        <v>98901</v>
      </c>
      <c r="F87" s="61">
        <f>SUM(E87*Summary!D72*Summary!D76)</f>
        <v>135494.37000000002</v>
      </c>
      <c r="G87" s="382">
        <f>E87*Summary!D73</f>
        <v>9039.5514</v>
      </c>
      <c r="H87" s="370">
        <f>SUM(F87/Summary!D74)</f>
        <v>61.45928550044907</v>
      </c>
      <c r="I87" s="338">
        <f>SUM(H87/D87)</f>
        <v>20.48642850014969</v>
      </c>
    </row>
    <row r="88" spans="1:9" ht="12.75">
      <c r="A88" s="380"/>
      <c r="B88" s="358"/>
      <c r="C88" s="355"/>
      <c r="D88" s="355"/>
      <c r="E88" s="355"/>
      <c r="F88" s="356"/>
      <c r="G88" s="383"/>
      <c r="H88" s="371"/>
      <c r="I88" s="384"/>
    </row>
    <row r="89" spans="1:9" ht="12.75">
      <c r="A89" s="385" t="s">
        <v>378</v>
      </c>
      <c r="B89" s="358"/>
      <c r="C89" s="355">
        <f>SUM(C83:C88)</f>
        <v>1669443.3855</v>
      </c>
      <c r="D89" s="354"/>
      <c r="E89" s="355">
        <f>SUM(E83:E88)</f>
        <v>5008330.1565</v>
      </c>
      <c r="F89" s="356">
        <f>SUM(F83:F88)</f>
        <v>6861412.314405001</v>
      </c>
      <c r="G89" s="386">
        <f>SUM(G83:G88)</f>
        <v>457761.3763041</v>
      </c>
      <c r="H89" s="387">
        <f>SUM(H83:H88)</f>
        <v>3112.2879745284904</v>
      </c>
      <c r="I89" s="388">
        <f>SUM(I83:I88)</f>
        <v>1037.4293248428303</v>
      </c>
    </row>
    <row r="90" spans="1:9" ht="12.75">
      <c r="A90" s="385"/>
      <c r="B90" s="358"/>
      <c r="C90" s="355"/>
      <c r="D90" s="354"/>
      <c r="E90" s="355"/>
      <c r="F90" s="61"/>
      <c r="G90" s="386"/>
      <c r="H90" s="350"/>
      <c r="I90" s="384"/>
    </row>
    <row r="91" spans="1:9" ht="12.75">
      <c r="A91" s="389" t="s">
        <v>317</v>
      </c>
      <c r="B91" s="358"/>
      <c r="C91" s="358"/>
      <c r="D91" s="359"/>
      <c r="E91" s="358"/>
      <c r="F91" s="360"/>
      <c r="G91" s="360"/>
      <c r="H91" s="350"/>
      <c r="I91" s="384"/>
    </row>
    <row r="92" spans="1:9" ht="12.75">
      <c r="A92" s="380" t="s">
        <v>171</v>
      </c>
      <c r="B92" s="358"/>
      <c r="C92" s="358"/>
      <c r="D92" s="358"/>
      <c r="E92" s="358"/>
      <c r="F92" s="358"/>
      <c r="G92" s="358"/>
      <c r="H92" s="350"/>
      <c r="I92" s="384"/>
    </row>
    <row r="93" spans="1:9" ht="12.75">
      <c r="A93" s="287" t="s">
        <v>172</v>
      </c>
      <c r="B93" s="50"/>
      <c r="C93" s="50"/>
      <c r="D93" s="50"/>
      <c r="E93" s="50"/>
      <c r="F93" s="50"/>
      <c r="G93" s="50"/>
      <c r="H93" s="350"/>
      <c r="I93" s="384"/>
    </row>
    <row r="94" spans="1:9" ht="12.75">
      <c r="A94" s="380" t="s">
        <v>173</v>
      </c>
      <c r="B94" s="358"/>
      <c r="C94" s="358"/>
      <c r="D94" s="358"/>
      <c r="E94" s="358"/>
      <c r="F94" s="358"/>
      <c r="G94" s="358"/>
      <c r="H94" s="350"/>
      <c r="I94" s="384"/>
    </row>
    <row r="95" spans="1:9" ht="12.75">
      <c r="A95" s="287" t="s">
        <v>174</v>
      </c>
      <c r="B95" s="50"/>
      <c r="C95" s="50"/>
      <c r="D95" s="50"/>
      <c r="E95" s="50"/>
      <c r="F95" s="50"/>
      <c r="G95" s="50"/>
      <c r="H95" s="350"/>
      <c r="I95" s="384"/>
    </row>
    <row r="96" spans="1:9" ht="12.75">
      <c r="A96" s="390" t="s">
        <v>175</v>
      </c>
      <c r="B96" s="50"/>
      <c r="C96" s="50"/>
      <c r="D96" s="50"/>
      <c r="E96" s="50"/>
      <c r="F96" s="50"/>
      <c r="G96" s="50"/>
      <c r="H96" s="350"/>
      <c r="I96" s="384"/>
    </row>
    <row r="97" spans="1:9" ht="12.75">
      <c r="A97" s="287" t="s">
        <v>176</v>
      </c>
      <c r="B97" s="50"/>
      <c r="C97" s="50"/>
      <c r="D97" s="50"/>
      <c r="E97" s="50"/>
      <c r="F97" s="50"/>
      <c r="G97" s="50"/>
      <c r="H97" s="350"/>
      <c r="I97" s="384"/>
    </row>
    <row r="98" spans="1:9" ht="13.5" thickBot="1">
      <c r="A98" s="391" t="s">
        <v>177</v>
      </c>
      <c r="B98" s="363"/>
      <c r="C98" s="363"/>
      <c r="D98" s="363"/>
      <c r="E98" s="363"/>
      <c r="F98" s="363"/>
      <c r="G98" s="363"/>
      <c r="H98" s="392"/>
      <c r="I98" s="393"/>
    </row>
    <row r="99" spans="1:9" ht="12.75">
      <c r="A99" s="364"/>
      <c r="B99" s="50"/>
      <c r="C99" s="50"/>
      <c r="D99" s="50"/>
      <c r="E99" s="50"/>
      <c r="F99" s="50"/>
      <c r="G99" s="50"/>
      <c r="H99" s="350"/>
      <c r="I99" s="357"/>
    </row>
    <row r="100" spans="1:9" ht="12.75">
      <c r="A100" s="364"/>
      <c r="B100" s="50"/>
      <c r="C100" s="50"/>
      <c r="D100" s="50"/>
      <c r="E100" s="50"/>
      <c r="F100" s="50"/>
      <c r="G100" s="50"/>
      <c r="H100" s="350"/>
      <c r="I100" s="357"/>
    </row>
    <row r="101" spans="1:9" ht="13.5" thickBot="1">
      <c r="A101" s="364"/>
      <c r="B101" s="50"/>
      <c r="C101" s="50"/>
      <c r="D101" s="50"/>
      <c r="E101" s="50"/>
      <c r="F101" s="50"/>
      <c r="G101" s="50"/>
      <c r="H101" s="350"/>
      <c r="I101" s="357"/>
    </row>
    <row r="102" spans="1:9" ht="15">
      <c r="A102" s="310" t="s">
        <v>184</v>
      </c>
      <c r="B102" s="311"/>
      <c r="C102" s="311"/>
      <c r="D102" s="311"/>
      <c r="E102" s="311"/>
      <c r="F102" s="311"/>
      <c r="G102" s="189"/>
      <c r="H102" s="312"/>
      <c r="I102" s="313"/>
    </row>
    <row r="103" spans="1:9" ht="12.75">
      <c r="A103" s="314"/>
      <c r="B103" s="28"/>
      <c r="C103" s="28"/>
      <c r="D103" s="28"/>
      <c r="E103" s="28"/>
      <c r="F103" s="28"/>
      <c r="G103" s="136"/>
      <c r="H103" s="29"/>
      <c r="I103" s="315"/>
    </row>
    <row r="104" spans="1:9" ht="12.75">
      <c r="A104" s="316" t="s">
        <v>359</v>
      </c>
      <c r="B104" s="57" t="s">
        <v>20</v>
      </c>
      <c r="C104" s="57" t="s">
        <v>377</v>
      </c>
      <c r="D104" s="57" t="s">
        <v>351</v>
      </c>
      <c r="E104" s="57" t="s">
        <v>29</v>
      </c>
      <c r="F104" s="58" t="s">
        <v>355</v>
      </c>
      <c r="G104" s="137" t="s">
        <v>27</v>
      </c>
      <c r="H104" s="58" t="s">
        <v>355</v>
      </c>
      <c r="I104" s="317" t="s">
        <v>355</v>
      </c>
    </row>
    <row r="105" spans="1:9" ht="12.75">
      <c r="A105" s="316" t="s">
        <v>44</v>
      </c>
      <c r="B105" s="57" t="s">
        <v>16</v>
      </c>
      <c r="C105" s="57" t="s">
        <v>17</v>
      </c>
      <c r="D105" s="57" t="s">
        <v>352</v>
      </c>
      <c r="E105" s="57" t="s">
        <v>28</v>
      </c>
      <c r="F105" s="58" t="s">
        <v>30</v>
      </c>
      <c r="G105" s="137" t="s">
        <v>28</v>
      </c>
      <c r="H105" s="58" t="s">
        <v>30</v>
      </c>
      <c r="I105" s="317" t="s">
        <v>8</v>
      </c>
    </row>
    <row r="106" spans="1:9" ht="12.75">
      <c r="A106" s="318"/>
      <c r="B106" s="57"/>
      <c r="C106" s="57" t="s">
        <v>358</v>
      </c>
      <c r="D106" s="57"/>
      <c r="E106" s="57" t="s">
        <v>352</v>
      </c>
      <c r="F106" s="58" t="s">
        <v>382</v>
      </c>
      <c r="G106" s="137" t="s">
        <v>352</v>
      </c>
      <c r="H106" s="58" t="s">
        <v>382</v>
      </c>
      <c r="I106" s="317" t="s">
        <v>9</v>
      </c>
    </row>
    <row r="107" spans="1:9" ht="12.75">
      <c r="A107" s="318"/>
      <c r="B107" s="57"/>
      <c r="C107" s="57" t="s">
        <v>18</v>
      </c>
      <c r="D107" s="57" t="s">
        <v>356</v>
      </c>
      <c r="E107" s="57" t="s">
        <v>19</v>
      </c>
      <c r="F107" s="58" t="s">
        <v>414</v>
      </c>
      <c r="G107" s="137" t="s">
        <v>230</v>
      </c>
      <c r="H107" s="58" t="s">
        <v>7</v>
      </c>
      <c r="I107" s="317" t="s">
        <v>7</v>
      </c>
    </row>
    <row r="108" spans="1:9" ht="24">
      <c r="A108" s="319" t="s">
        <v>15</v>
      </c>
      <c r="B108" s="60">
        <v>1</v>
      </c>
      <c r="C108" s="61">
        <f>SUM(B149)</f>
        <v>3952</v>
      </c>
      <c r="D108" s="61">
        <f>SUM(B140)</f>
        <v>3</v>
      </c>
      <c r="E108" s="61">
        <f>C108*D108</f>
        <v>11856</v>
      </c>
      <c r="F108" s="61">
        <f>SUM(E108*Summary!D85)</f>
        <v>231950.784</v>
      </c>
      <c r="G108" s="138">
        <f>SUM(E108*Summary!D87)</f>
        <v>35805.12</v>
      </c>
      <c r="H108" s="61">
        <f>F108/Summary!D74</f>
        <v>105.21123096043763</v>
      </c>
      <c r="I108" s="320">
        <f>SUM(H108/D108)</f>
        <v>35.070410320145875</v>
      </c>
    </row>
    <row r="109" spans="1:9" ht="12.75">
      <c r="A109" s="321"/>
      <c r="B109" s="60"/>
      <c r="C109" s="61"/>
      <c r="D109" s="61"/>
      <c r="E109" s="61"/>
      <c r="F109" s="61"/>
      <c r="G109" s="138"/>
      <c r="H109" s="61"/>
      <c r="I109" s="322"/>
    </row>
    <row r="110" spans="1:9" ht="12.75">
      <c r="A110" s="323" t="s">
        <v>378</v>
      </c>
      <c r="B110" s="60"/>
      <c r="C110" s="61">
        <f aca="true" t="shared" si="2" ref="C110:I110">SUM(C108:C109)</f>
        <v>3952</v>
      </c>
      <c r="D110" s="61">
        <f t="shared" si="2"/>
        <v>3</v>
      </c>
      <c r="E110" s="61">
        <f t="shared" si="2"/>
        <v>11856</v>
      </c>
      <c r="F110" s="61">
        <f t="shared" si="2"/>
        <v>231950.784</v>
      </c>
      <c r="G110" s="61">
        <f t="shared" si="2"/>
        <v>35805.12</v>
      </c>
      <c r="H110" s="61">
        <f t="shared" si="2"/>
        <v>105.21123096043763</v>
      </c>
      <c r="I110" s="320">
        <f t="shared" si="2"/>
        <v>35.070410320145875</v>
      </c>
    </row>
    <row r="111" spans="1:9" ht="13.5" thickBot="1">
      <c r="A111" s="325"/>
      <c r="B111" s="326"/>
      <c r="C111" s="326"/>
      <c r="D111" s="326"/>
      <c r="E111" s="327"/>
      <c r="F111" s="327"/>
      <c r="G111" s="328"/>
      <c r="H111" s="329"/>
      <c r="I111" s="330"/>
    </row>
    <row r="112" spans="1:9" ht="12.75">
      <c r="A112" s="394"/>
      <c r="B112" s="140"/>
      <c r="C112" s="140"/>
      <c r="D112" s="140"/>
      <c r="E112" s="61"/>
      <c r="F112" s="61"/>
      <c r="G112" s="64"/>
      <c r="H112" s="97"/>
      <c r="I112" s="97"/>
    </row>
    <row r="113" spans="1:9" ht="12.75">
      <c r="A113" s="394"/>
      <c r="B113" s="140"/>
      <c r="C113" s="140"/>
      <c r="D113" s="140"/>
      <c r="E113" s="61"/>
      <c r="F113" s="714" t="s">
        <v>364</v>
      </c>
      <c r="G113" s="64"/>
      <c r="H113" s="97"/>
      <c r="I113" s="97"/>
    </row>
    <row r="114" spans="1:9" ht="13.5" thickBot="1">
      <c r="A114" s="394"/>
      <c r="B114" s="140"/>
      <c r="C114" s="140"/>
      <c r="D114" s="140"/>
      <c r="E114" s="61"/>
      <c r="F114" s="61"/>
      <c r="G114" s="64"/>
      <c r="H114" s="97"/>
      <c r="I114" s="97"/>
    </row>
    <row r="115" spans="1:9" ht="12.75">
      <c r="A115" s="395" t="s">
        <v>186</v>
      </c>
      <c r="B115" s="396"/>
      <c r="C115" s="397"/>
      <c r="D115" s="397"/>
      <c r="E115" s="397"/>
      <c r="F115" s="398"/>
      <c r="G115" s="173"/>
      <c r="H115" s="173"/>
      <c r="I115" s="399"/>
    </row>
    <row r="116" spans="1:9" ht="12.75">
      <c r="A116" s="400"/>
      <c r="B116" s="249"/>
      <c r="C116" s="125"/>
      <c r="D116" s="125"/>
      <c r="E116" s="125"/>
      <c r="F116" s="126"/>
      <c r="G116" s="62"/>
      <c r="H116" s="62"/>
      <c r="I116" s="335"/>
    </row>
    <row r="117" spans="1:9" ht="12.75">
      <c r="A117" s="400"/>
      <c r="B117" s="907" t="s">
        <v>68</v>
      </c>
      <c r="C117" s="832"/>
      <c r="D117" s="907" t="s">
        <v>37</v>
      </c>
      <c r="E117" s="832"/>
      <c r="F117" s="827" t="s">
        <v>35</v>
      </c>
      <c r="G117" s="832"/>
      <c r="H117" s="827" t="s">
        <v>36</v>
      </c>
      <c r="I117" s="828"/>
    </row>
    <row r="118" spans="1:9" ht="12.75">
      <c r="A118" s="400"/>
      <c r="B118" s="98" t="s">
        <v>377</v>
      </c>
      <c r="C118" s="98" t="s">
        <v>379</v>
      </c>
      <c r="D118" s="98" t="s">
        <v>377</v>
      </c>
      <c r="E118" s="98" t="s">
        <v>379</v>
      </c>
      <c r="F118" s="99" t="s">
        <v>377</v>
      </c>
      <c r="G118" s="98" t="s">
        <v>379</v>
      </c>
      <c r="H118" s="99" t="s">
        <v>377</v>
      </c>
      <c r="I118" s="401" t="s">
        <v>379</v>
      </c>
    </row>
    <row r="119" spans="1:9" ht="12.75">
      <c r="A119" s="400"/>
      <c r="B119" s="98" t="s">
        <v>351</v>
      </c>
      <c r="C119" s="98" t="s">
        <v>380</v>
      </c>
      <c r="D119" s="98" t="s">
        <v>351</v>
      </c>
      <c r="E119" s="98" t="s">
        <v>380</v>
      </c>
      <c r="F119" s="99" t="s">
        <v>351</v>
      </c>
      <c r="G119" s="98" t="s">
        <v>380</v>
      </c>
      <c r="H119" s="99" t="s">
        <v>351</v>
      </c>
      <c r="I119" s="401" t="s">
        <v>380</v>
      </c>
    </row>
    <row r="120" spans="1:9" ht="13.5" thickBot="1">
      <c r="A120" s="400"/>
      <c r="B120" s="226" t="s">
        <v>360</v>
      </c>
      <c r="C120" s="226" t="s">
        <v>381</v>
      </c>
      <c r="D120" s="226" t="s">
        <v>19</v>
      </c>
      <c r="E120" s="226" t="s">
        <v>19</v>
      </c>
      <c r="F120" s="227" t="s">
        <v>31</v>
      </c>
      <c r="G120" s="227" t="s">
        <v>31</v>
      </c>
      <c r="H120" s="228" t="s">
        <v>383</v>
      </c>
      <c r="I120" s="402" t="s">
        <v>383</v>
      </c>
    </row>
    <row r="121" spans="1:9" ht="12.75">
      <c r="A121" s="400"/>
      <c r="B121" s="98"/>
      <c r="C121" s="98"/>
      <c r="D121" s="99"/>
      <c r="E121" s="98"/>
      <c r="F121" s="250"/>
      <c r="G121" s="62"/>
      <c r="H121" s="62"/>
      <c r="I121" s="335"/>
    </row>
    <row r="122" spans="1:9" ht="13.5" thickBot="1">
      <c r="A122" s="505" t="s">
        <v>378</v>
      </c>
      <c r="B122" s="508">
        <f>SUM(C89)</f>
        <v>1669443.3855</v>
      </c>
      <c r="C122" s="509">
        <f>SUM(B122*23)</f>
        <v>38397197.866500005</v>
      </c>
      <c r="D122" s="509">
        <f>SUM(C110)</f>
        <v>3952</v>
      </c>
      <c r="E122" s="509">
        <f>SUM(D122*23)</f>
        <v>90896</v>
      </c>
      <c r="F122" s="510">
        <f>SUM(I89+I110)</f>
        <v>1072.499735162976</v>
      </c>
      <c r="G122" s="509">
        <f>SUM(F122*23)</f>
        <v>24667.49390874845</v>
      </c>
      <c r="H122" s="509">
        <f>SUM(G89/B140+G110/B140)</f>
        <v>164522.1654347</v>
      </c>
      <c r="I122" s="511">
        <f>SUM(H122*23)</f>
        <v>3784009.8049981</v>
      </c>
    </row>
    <row r="123" spans="1:9" ht="12.75">
      <c r="A123" s="394"/>
      <c r="B123" s="140"/>
      <c r="C123" s="140"/>
      <c r="D123" s="140"/>
      <c r="E123" s="61"/>
      <c r="F123" s="61"/>
      <c r="G123" s="64"/>
      <c r="H123" s="97"/>
      <c r="I123" s="97"/>
    </row>
    <row r="124" spans="1:9" ht="12.75">
      <c r="A124" s="394"/>
      <c r="B124" s="140"/>
      <c r="C124" s="140"/>
      <c r="D124" s="140"/>
      <c r="E124" s="61"/>
      <c r="F124" s="61"/>
      <c r="G124" s="64"/>
      <c r="H124" s="97"/>
      <c r="I124" s="97"/>
    </row>
    <row r="125" spans="1:9" ht="12.75">
      <c r="A125" s="394"/>
      <c r="B125" s="140"/>
      <c r="C125" s="140"/>
      <c r="D125" s="140"/>
      <c r="E125" s="61"/>
      <c r="F125" s="61"/>
      <c r="G125" s="64"/>
      <c r="H125" s="97"/>
      <c r="I125" s="97"/>
    </row>
    <row r="126" spans="1:9" ht="13.5" thickBot="1">
      <c r="A126" s="497"/>
      <c r="B126" s="498"/>
      <c r="C126" s="499"/>
      <c r="D126" s="499"/>
      <c r="E126" s="499"/>
      <c r="F126" s="500"/>
      <c r="G126" s="501"/>
      <c r="H126" s="29"/>
      <c r="I126" s="29"/>
    </row>
    <row r="127" spans="1:9" ht="12.75">
      <c r="A127" s="408" t="s">
        <v>185</v>
      </c>
      <c r="B127" s="409"/>
      <c r="C127" s="410"/>
      <c r="D127" s="410"/>
      <c r="E127" s="410"/>
      <c r="F127" s="411"/>
      <c r="G127" s="412"/>
      <c r="H127" s="297"/>
      <c r="I127" s="331"/>
    </row>
    <row r="128" spans="1:9" ht="12.75">
      <c r="A128" s="413"/>
      <c r="B128" s="100"/>
      <c r="C128" s="101"/>
      <c r="D128" s="101"/>
      <c r="E128" s="101"/>
      <c r="F128" s="102"/>
      <c r="G128" s="414"/>
      <c r="H128" s="29"/>
      <c r="I128" s="315"/>
    </row>
    <row r="129" spans="1:9" ht="12.75">
      <c r="A129" s="415"/>
      <c r="B129" s="907" t="s">
        <v>67</v>
      </c>
      <c r="C129" s="832"/>
      <c r="D129" s="907" t="s">
        <v>40</v>
      </c>
      <c r="E129" s="832"/>
      <c r="F129" s="827" t="s">
        <v>41</v>
      </c>
      <c r="G129" s="832"/>
      <c r="H129" s="827" t="s">
        <v>42</v>
      </c>
      <c r="I129" s="828"/>
    </row>
    <row r="130" spans="1:9" ht="12.75">
      <c r="A130" s="415"/>
      <c r="B130" s="98" t="s">
        <v>377</v>
      </c>
      <c r="C130" s="98" t="s">
        <v>379</v>
      </c>
      <c r="D130" s="98" t="s">
        <v>377</v>
      </c>
      <c r="E130" s="98" t="s">
        <v>379</v>
      </c>
      <c r="F130" s="99" t="s">
        <v>377</v>
      </c>
      <c r="G130" s="98" t="s">
        <v>379</v>
      </c>
      <c r="H130" s="99" t="s">
        <v>377</v>
      </c>
      <c r="I130" s="401" t="s">
        <v>379</v>
      </c>
    </row>
    <row r="131" spans="1:9" ht="12.75">
      <c r="A131" s="415"/>
      <c r="B131" s="98" t="s">
        <v>351</v>
      </c>
      <c r="C131" s="98" t="s">
        <v>380</v>
      </c>
      <c r="D131" s="98" t="s">
        <v>351</v>
      </c>
      <c r="E131" s="98" t="s">
        <v>380</v>
      </c>
      <c r="F131" s="99" t="s">
        <v>351</v>
      </c>
      <c r="G131" s="98" t="s">
        <v>380</v>
      </c>
      <c r="H131" s="99" t="s">
        <v>351</v>
      </c>
      <c r="I131" s="401" t="s">
        <v>380</v>
      </c>
    </row>
    <row r="132" spans="1:9" ht="13.5" thickBot="1">
      <c r="A132" s="415"/>
      <c r="B132" s="226" t="s">
        <v>360</v>
      </c>
      <c r="C132" s="226" t="s">
        <v>381</v>
      </c>
      <c r="D132" s="226" t="s">
        <v>19</v>
      </c>
      <c r="E132" s="226" t="s">
        <v>19</v>
      </c>
      <c r="F132" s="227" t="s">
        <v>31</v>
      </c>
      <c r="G132" s="227" t="s">
        <v>31</v>
      </c>
      <c r="H132" s="228" t="s">
        <v>383</v>
      </c>
      <c r="I132" s="402" t="s">
        <v>383</v>
      </c>
    </row>
    <row r="133" spans="1:9" ht="12.75">
      <c r="A133" s="400"/>
      <c r="B133" s="504"/>
      <c r="C133" s="504"/>
      <c r="D133" s="504"/>
      <c r="E133" s="98"/>
      <c r="F133" s="99"/>
      <c r="G133" s="99"/>
      <c r="H133" s="502"/>
      <c r="I133" s="503"/>
    </row>
    <row r="134" spans="1:9" ht="13.5" thickBot="1">
      <c r="A134" s="505" t="s">
        <v>378</v>
      </c>
      <c r="B134" s="506">
        <f>C89*E67</f>
        <v>18679361.11865463</v>
      </c>
      <c r="C134" s="506">
        <f>SUM(B134*23)</f>
        <v>429625305.72905654</v>
      </c>
      <c r="D134" s="506">
        <f>SUM(D122*E67)</f>
        <v>44218.83112784546</v>
      </c>
      <c r="E134" s="506">
        <f>SUM(D134*23)</f>
        <v>1017033.1159404455</v>
      </c>
      <c r="F134" s="506">
        <f>SUM(F122*E67)</f>
        <v>12000.173247426776</v>
      </c>
      <c r="G134" s="506">
        <f>SUM(F134*23)</f>
        <v>276003.98469081585</v>
      </c>
      <c r="H134" s="506">
        <f>SUM(H122*E67)</f>
        <v>1840834.4762511265</v>
      </c>
      <c r="I134" s="507">
        <f>SUM(H134*23)</f>
        <v>42339192.95377591</v>
      </c>
    </row>
    <row r="135" spans="1:9" ht="12.75">
      <c r="A135" s="155"/>
      <c r="B135" s="418"/>
      <c r="C135" s="418"/>
      <c r="D135" s="418"/>
      <c r="E135" s="418"/>
      <c r="F135" s="418"/>
      <c r="G135" s="418"/>
      <c r="H135" s="418"/>
      <c r="I135" s="418"/>
    </row>
    <row r="136" spans="1:9" ht="13.5" thickBot="1">
      <c r="A136" s="245"/>
      <c r="B136" s="125"/>
      <c r="C136" s="125"/>
      <c r="D136" s="125"/>
      <c r="E136" s="125"/>
      <c r="F136" s="714" t="s">
        <v>364</v>
      </c>
      <c r="G136" s="125"/>
      <c r="H136" s="125"/>
      <c r="I136" s="125"/>
    </row>
    <row r="137" spans="1:9" ht="15">
      <c r="A137" s="904" t="s">
        <v>237</v>
      </c>
      <c r="B137" s="905"/>
      <c r="C137" s="905"/>
      <c r="D137" s="905"/>
      <c r="E137" s="905"/>
      <c r="F137" s="905"/>
      <c r="G137" s="905"/>
      <c r="H137" s="905"/>
      <c r="I137" s="906"/>
    </row>
    <row r="138" spans="1:9" ht="26.25" thickBot="1">
      <c r="A138" s="687" t="s">
        <v>187</v>
      </c>
      <c r="B138" s="444" t="s">
        <v>302</v>
      </c>
      <c r="C138" s="919" t="s">
        <v>303</v>
      </c>
      <c r="D138" s="920"/>
      <c r="E138" s="920"/>
      <c r="F138" s="920"/>
      <c r="G138" s="920"/>
      <c r="H138" s="920"/>
      <c r="I138" s="921"/>
    </row>
    <row r="139" spans="1:9" ht="45.75" thickTop="1">
      <c r="A139" s="688" t="s">
        <v>178</v>
      </c>
      <c r="B139" s="442">
        <f>SUM(C13)</f>
        <v>3.2</v>
      </c>
      <c r="C139" s="909" t="s">
        <v>107</v>
      </c>
      <c r="D139" s="910"/>
      <c r="E139" s="910"/>
      <c r="F139" s="911"/>
      <c r="G139" s="911"/>
      <c r="H139" s="911"/>
      <c r="I139" s="912"/>
    </row>
    <row r="140" spans="1:9" ht="33.75">
      <c r="A140" s="689" t="s">
        <v>179</v>
      </c>
      <c r="B140" s="419">
        <v>3</v>
      </c>
      <c r="C140" s="913" t="s">
        <v>109</v>
      </c>
      <c r="D140" s="914"/>
      <c r="E140" s="914"/>
      <c r="F140" s="915"/>
      <c r="G140" s="915"/>
      <c r="H140" s="915"/>
      <c r="I140" s="916"/>
    </row>
    <row r="141" spans="1:9" ht="72">
      <c r="A141" s="690" t="s">
        <v>390</v>
      </c>
      <c r="B141" s="419">
        <v>0.5</v>
      </c>
      <c r="C141" s="917" t="s">
        <v>180</v>
      </c>
      <c r="D141" s="918"/>
      <c r="E141" s="918"/>
      <c r="F141" s="915"/>
      <c r="G141" s="915"/>
      <c r="H141" s="915"/>
      <c r="I141" s="916"/>
    </row>
    <row r="142" spans="1:9" ht="36">
      <c r="A142" s="690" t="s">
        <v>421</v>
      </c>
      <c r="B142" s="419">
        <v>400</v>
      </c>
      <c r="C142" s="917" t="s">
        <v>422</v>
      </c>
      <c r="D142" s="915"/>
      <c r="E142" s="915"/>
      <c r="F142" s="915"/>
      <c r="G142" s="915"/>
      <c r="H142" s="915"/>
      <c r="I142" s="916"/>
    </row>
    <row r="143" spans="1:9" ht="24" customHeight="1">
      <c r="A143" s="689" t="s">
        <v>384</v>
      </c>
      <c r="B143" s="419">
        <v>10</v>
      </c>
      <c r="C143" s="925" t="s">
        <v>233</v>
      </c>
      <c r="D143" s="915"/>
      <c r="E143" s="915"/>
      <c r="F143" s="915"/>
      <c r="G143" s="915"/>
      <c r="H143" s="915"/>
      <c r="I143" s="916"/>
    </row>
    <row r="144" spans="1:9" ht="22.5">
      <c r="A144" s="689" t="s">
        <v>111</v>
      </c>
      <c r="B144" s="419">
        <v>1</v>
      </c>
      <c r="C144" s="925" t="s">
        <v>234</v>
      </c>
      <c r="D144" s="915"/>
      <c r="E144" s="915"/>
      <c r="F144" s="915"/>
      <c r="G144" s="915"/>
      <c r="H144" s="915"/>
      <c r="I144" s="916"/>
    </row>
    <row r="145" spans="1:9" ht="36">
      <c r="A145" s="690" t="s">
        <v>112</v>
      </c>
      <c r="B145" s="419">
        <v>1</v>
      </c>
      <c r="C145" s="925" t="s">
        <v>235</v>
      </c>
      <c r="D145" s="915"/>
      <c r="E145" s="915"/>
      <c r="F145" s="915"/>
      <c r="G145" s="915"/>
      <c r="H145" s="915"/>
      <c r="I145" s="916"/>
    </row>
    <row r="146" spans="1:9" ht="33.75">
      <c r="A146" s="689" t="s">
        <v>113</v>
      </c>
      <c r="B146" s="419">
        <v>1</v>
      </c>
      <c r="C146" s="925" t="s">
        <v>236</v>
      </c>
      <c r="D146" s="915"/>
      <c r="E146" s="915"/>
      <c r="F146" s="915"/>
      <c r="G146" s="915"/>
      <c r="H146" s="915"/>
      <c r="I146" s="916"/>
    </row>
    <row r="147" spans="1:9" ht="54" customHeight="1">
      <c r="A147" s="690" t="s">
        <v>296</v>
      </c>
      <c r="B147" s="255">
        <f>SUM(81643*Summary!D75)</f>
        <v>89717.4927</v>
      </c>
      <c r="C147" s="925" t="s">
        <v>428</v>
      </c>
      <c r="D147" s="915"/>
      <c r="E147" s="915"/>
      <c r="F147" s="915"/>
      <c r="G147" s="915"/>
      <c r="H147" s="915"/>
      <c r="I147" s="916"/>
    </row>
    <row r="148" spans="1:9" ht="41.25" customHeight="1">
      <c r="A148" s="691" t="s">
        <v>57</v>
      </c>
      <c r="B148" s="645">
        <f>SUM(30000*Summary!D75)</f>
        <v>32967</v>
      </c>
      <c r="C148" s="926" t="s">
        <v>426</v>
      </c>
      <c r="D148" s="927"/>
      <c r="E148" s="927"/>
      <c r="F148" s="927"/>
      <c r="G148" s="927"/>
      <c r="H148" s="927"/>
      <c r="I148" s="928"/>
    </row>
    <row r="149" spans="1:9" ht="41.25" customHeight="1" thickBot="1">
      <c r="A149" s="692" t="s">
        <v>195</v>
      </c>
      <c r="B149" s="693">
        <v>3952</v>
      </c>
      <c r="C149" s="922" t="s">
        <v>430</v>
      </c>
      <c r="D149" s="923"/>
      <c r="E149" s="923"/>
      <c r="F149" s="923"/>
      <c r="G149" s="923"/>
      <c r="H149" s="923"/>
      <c r="I149" s="924"/>
    </row>
    <row r="153" ht="12.75">
      <c r="F153" s="714" t="s">
        <v>364</v>
      </c>
    </row>
  </sheetData>
  <mergeCells count="28">
    <mergeCell ref="F129:G129"/>
    <mergeCell ref="H129:I129"/>
    <mergeCell ref="C142:I142"/>
    <mergeCell ref="C149:I149"/>
    <mergeCell ref="C146:I146"/>
    <mergeCell ref="C147:I147"/>
    <mergeCell ref="C145:I145"/>
    <mergeCell ref="C148:I148"/>
    <mergeCell ref="C144:I144"/>
    <mergeCell ref="C143:I143"/>
    <mergeCell ref="C139:I139"/>
    <mergeCell ref="C140:I140"/>
    <mergeCell ref="C141:I141"/>
    <mergeCell ref="C138:I138"/>
    <mergeCell ref="A20:I20"/>
    <mergeCell ref="A35:I35"/>
    <mergeCell ref="A36:I36"/>
    <mergeCell ref="A1:I1"/>
    <mergeCell ref="A70:I70"/>
    <mergeCell ref="A71:I71"/>
    <mergeCell ref="A72:F72"/>
    <mergeCell ref="A137:I137"/>
    <mergeCell ref="H117:I117"/>
    <mergeCell ref="B117:C117"/>
    <mergeCell ref="D117:E117"/>
    <mergeCell ref="F117:G117"/>
    <mergeCell ref="B129:C129"/>
    <mergeCell ref="D129:E129"/>
  </mergeCells>
  <printOptions/>
  <pageMargins left="0.5" right="0.5" top="0.5" bottom="0.5" header="0.25" footer="0.25"/>
  <pageSetup horizontalDpi="600" verticalDpi="600" orientation="landscape" r:id="rId1"/>
  <headerFooter alignWithMargins="0">
    <oddFooter>&amp;CPage &amp;P of &amp;N</oddFooter>
  </headerFooter>
  <rowBreaks count="4" manualBreakCount="4">
    <brk id="38" max="255" man="1"/>
    <brk id="75" max="255" man="1"/>
    <brk id="114" max="255" man="1"/>
    <brk id="136" max="255" man="1"/>
  </rowBreaks>
</worksheet>
</file>

<file path=xl/worksheets/sheet7.xml><?xml version="1.0" encoding="utf-8"?>
<worksheet xmlns="http://schemas.openxmlformats.org/spreadsheetml/2006/main" xmlns:r="http://schemas.openxmlformats.org/officeDocument/2006/relationships">
  <sheetPr codeName="Sheet7"/>
  <dimension ref="A1:J156"/>
  <sheetViews>
    <sheetView workbookViewId="0" topLeftCell="A41">
      <selection activeCell="F114" sqref="F114"/>
    </sheetView>
  </sheetViews>
  <sheetFormatPr defaultColWidth="9.140625" defaultRowHeight="12.75"/>
  <cols>
    <col min="1" max="1" width="25.421875" style="0" customWidth="1"/>
    <col min="2" max="2" width="12.7109375" style="0" customWidth="1"/>
    <col min="3" max="3" width="11.421875" style="0" customWidth="1"/>
    <col min="4" max="4" width="11.7109375" style="0" customWidth="1"/>
    <col min="5" max="5" width="11.57421875" style="0" customWidth="1"/>
    <col min="6" max="6" width="12.7109375" style="0" customWidth="1"/>
    <col min="7" max="7" width="13.00390625" style="0" customWidth="1"/>
    <col min="8" max="8" width="12.00390625" style="0" customWidth="1"/>
    <col min="9" max="9" width="12.140625" style="0" customWidth="1"/>
  </cols>
  <sheetData>
    <row r="1" spans="1:9" ht="18.75" customHeight="1">
      <c r="A1" s="833" t="s">
        <v>410</v>
      </c>
      <c r="B1" s="834"/>
      <c r="C1" s="834"/>
      <c r="D1" s="834"/>
      <c r="E1" s="834"/>
      <c r="F1" s="834"/>
      <c r="G1" s="834"/>
      <c r="H1" s="834"/>
      <c r="I1" s="767"/>
    </row>
    <row r="2" ht="15.75">
      <c r="A2" s="342" t="s">
        <v>266</v>
      </c>
    </row>
    <row r="3" spans="1:5" ht="12.75">
      <c r="A3" s="1" t="s">
        <v>438</v>
      </c>
      <c r="B3" s="20"/>
      <c r="C3" s="20"/>
      <c r="D3" s="20"/>
      <c r="E3" s="20"/>
    </row>
    <row r="4" spans="1:8" ht="15">
      <c r="A4" s="38"/>
      <c r="B4" s="65"/>
      <c r="C4" s="65"/>
      <c r="H4" s="20"/>
    </row>
    <row r="5" spans="1:8" ht="13.5" thickBot="1">
      <c r="A5" s="1"/>
      <c r="H5" s="20"/>
    </row>
    <row r="6" spans="1:9" ht="12.75">
      <c r="A6" s="261" t="s">
        <v>238</v>
      </c>
      <c r="B6" s="463"/>
      <c r="C6" s="463"/>
      <c r="D6" s="155"/>
      <c r="E6" s="155"/>
      <c r="F6" s="155"/>
      <c r="G6" s="155"/>
      <c r="H6" s="155"/>
      <c r="I6" s="156"/>
    </row>
    <row r="7" spans="1:9" ht="12.75">
      <c r="A7" s="361"/>
      <c r="B7" s="20"/>
      <c r="C7" s="20"/>
      <c r="D7" s="20"/>
      <c r="E7" s="20"/>
      <c r="F7" s="20"/>
      <c r="G7" s="20"/>
      <c r="H7" s="20"/>
      <c r="I7" s="157"/>
    </row>
    <row r="8" spans="1:10" ht="36">
      <c r="A8" s="265" t="s">
        <v>328</v>
      </c>
      <c r="B8" s="41" t="s">
        <v>138</v>
      </c>
      <c r="C8" s="41" t="s">
        <v>85</v>
      </c>
      <c r="D8" s="42"/>
      <c r="E8" s="42"/>
      <c r="F8" s="127"/>
      <c r="G8" s="259"/>
      <c r="H8" s="127"/>
      <c r="I8" s="264"/>
      <c r="J8" s="30"/>
    </row>
    <row r="9" spans="1:10" ht="12.75">
      <c r="A9" s="266">
        <v>2001</v>
      </c>
      <c r="B9" s="445">
        <v>4</v>
      </c>
      <c r="C9" s="95"/>
      <c r="D9" s="42"/>
      <c r="E9" s="42"/>
      <c r="F9" s="127"/>
      <c r="G9" s="259"/>
      <c r="H9" s="127"/>
      <c r="I9" s="264"/>
      <c r="J9" s="30"/>
    </row>
    <row r="10" spans="1:10" ht="12.75">
      <c r="A10" s="266">
        <v>2002</v>
      </c>
      <c r="B10" s="445">
        <v>4</v>
      </c>
      <c r="C10" s="95"/>
      <c r="D10" s="42"/>
      <c r="E10" s="42"/>
      <c r="F10" s="127"/>
      <c r="G10" s="259"/>
      <c r="H10" s="127"/>
      <c r="I10" s="264"/>
      <c r="J10" s="30"/>
    </row>
    <row r="11" spans="1:10" ht="12.75">
      <c r="A11" s="266">
        <v>2003</v>
      </c>
      <c r="B11" s="445">
        <v>1</v>
      </c>
      <c r="C11" s="95"/>
      <c r="D11" s="42"/>
      <c r="E11" s="42"/>
      <c r="F11" s="127"/>
      <c r="G11" s="259"/>
      <c r="H11" s="127"/>
      <c r="I11" s="264"/>
      <c r="J11" s="30"/>
    </row>
    <row r="12" spans="1:10" ht="12.75">
      <c r="A12" s="266">
        <v>2004</v>
      </c>
      <c r="B12" s="445">
        <v>2</v>
      </c>
      <c r="C12" s="95"/>
      <c r="D12" s="42"/>
      <c r="E12" s="42"/>
      <c r="F12" s="127"/>
      <c r="G12" s="259"/>
      <c r="H12" s="127"/>
      <c r="I12" s="264"/>
      <c r="J12" s="30"/>
    </row>
    <row r="13" spans="1:10" ht="12.75">
      <c r="A13" s="266" t="s">
        <v>367</v>
      </c>
      <c r="B13" s="445">
        <v>3</v>
      </c>
      <c r="C13" s="446">
        <f>AVERAGE(B9:B13)</f>
        <v>2.8</v>
      </c>
      <c r="D13" s="42"/>
      <c r="E13" s="42"/>
      <c r="F13" s="127"/>
      <c r="G13" s="259"/>
      <c r="H13" s="127"/>
      <c r="I13" s="264"/>
      <c r="J13" s="30"/>
    </row>
    <row r="14" spans="1:10" ht="12.75">
      <c r="A14" s="266" t="s">
        <v>333</v>
      </c>
      <c r="B14" s="445">
        <f>SUM(C13)</f>
        <v>2.8</v>
      </c>
      <c r="C14" s="95"/>
      <c r="D14" s="42"/>
      <c r="E14" s="42"/>
      <c r="F14" s="127"/>
      <c r="G14" s="259"/>
      <c r="H14" s="127"/>
      <c r="I14" s="264"/>
      <c r="J14" s="30"/>
    </row>
    <row r="15" spans="1:10" ht="12.75">
      <c r="A15" s="266" t="s">
        <v>334</v>
      </c>
      <c r="B15" s="445">
        <f>SUM(C13)</f>
        <v>2.8</v>
      </c>
      <c r="C15" s="95"/>
      <c r="D15" s="42"/>
      <c r="E15" s="42"/>
      <c r="F15" s="127"/>
      <c r="G15" s="259"/>
      <c r="H15" s="127"/>
      <c r="I15" s="264"/>
      <c r="J15" s="30"/>
    </row>
    <row r="16" spans="1:10" ht="12.75">
      <c r="A16" s="267"/>
      <c r="B16" s="44"/>
      <c r="C16" s="44"/>
      <c r="D16" s="44"/>
      <c r="E16" s="43"/>
      <c r="F16" s="259"/>
      <c r="G16" s="259"/>
      <c r="H16" s="127"/>
      <c r="I16" s="264"/>
      <c r="J16" s="30"/>
    </row>
    <row r="17" spans="1:10" ht="12.75">
      <c r="A17" s="268" t="s">
        <v>317</v>
      </c>
      <c r="B17" s="44"/>
      <c r="C17" s="44"/>
      <c r="D17" s="44"/>
      <c r="E17" s="44"/>
      <c r="F17" s="259"/>
      <c r="G17" s="259"/>
      <c r="H17" s="127"/>
      <c r="I17" s="264"/>
      <c r="J17" s="30"/>
    </row>
    <row r="18" spans="1:10" ht="12.75">
      <c r="A18" s="269" t="s">
        <v>239</v>
      </c>
      <c r="B18" s="45"/>
      <c r="C18" s="45"/>
      <c r="D18" s="45"/>
      <c r="E18" s="45"/>
      <c r="F18" s="260"/>
      <c r="G18" s="260"/>
      <c r="H18" s="260"/>
      <c r="I18" s="270"/>
      <c r="J18" s="30"/>
    </row>
    <row r="19" spans="1:10" ht="12.75">
      <c r="A19" s="464" t="s">
        <v>369</v>
      </c>
      <c r="B19" s="447"/>
      <c r="C19" s="447"/>
      <c r="D19" s="447"/>
      <c r="E19" s="447"/>
      <c r="F19" s="448"/>
      <c r="G19" s="448"/>
      <c r="H19" s="448"/>
      <c r="I19" s="465"/>
      <c r="J19" s="449"/>
    </row>
    <row r="20" spans="1:10" ht="13.5" thickBot="1">
      <c r="A20" s="885" t="s">
        <v>240</v>
      </c>
      <c r="B20" s="929"/>
      <c r="C20" s="929"/>
      <c r="D20" s="929"/>
      <c r="E20" s="929"/>
      <c r="F20" s="849"/>
      <c r="G20" s="466"/>
      <c r="H20" s="467"/>
      <c r="I20" s="468"/>
      <c r="J20" s="449"/>
    </row>
    <row r="21" spans="1:10" ht="12.75">
      <c r="A21" s="288"/>
      <c r="B21" s="288"/>
      <c r="C21" s="288"/>
      <c r="D21" s="288"/>
      <c r="E21" s="288"/>
      <c r="F21" s="135"/>
      <c r="G21" s="493"/>
      <c r="H21" s="120"/>
      <c r="I21" s="120"/>
      <c r="J21" s="449"/>
    </row>
    <row r="22" spans="1:10" ht="12.75">
      <c r="A22" s="288"/>
      <c r="B22" s="288"/>
      <c r="C22" s="288"/>
      <c r="D22" s="288"/>
      <c r="E22" s="288"/>
      <c r="F22" s="135"/>
      <c r="G22" s="493"/>
      <c r="H22" s="120"/>
      <c r="I22" s="120"/>
      <c r="J22" s="449"/>
    </row>
    <row r="23" spans="1:10" ht="13.5" thickBot="1">
      <c r="A23" s="449"/>
      <c r="B23" s="450"/>
      <c r="C23" s="450"/>
      <c r="D23" s="450"/>
      <c r="E23" s="450"/>
      <c r="F23" s="450"/>
      <c r="G23" s="450"/>
      <c r="H23" s="120"/>
      <c r="I23" s="449"/>
      <c r="J23" s="449"/>
    </row>
    <row r="24" spans="1:10" ht="12.75">
      <c r="A24" s="295" t="s">
        <v>241</v>
      </c>
      <c r="B24" s="297"/>
      <c r="C24" s="297"/>
      <c r="D24" s="297"/>
      <c r="E24" s="297"/>
      <c r="F24" s="297"/>
      <c r="G24" s="297"/>
      <c r="H24" s="297"/>
      <c r="I24" s="331"/>
      <c r="J24" s="21"/>
    </row>
    <row r="25" spans="1:10" ht="12.75">
      <c r="A25" s="469"/>
      <c r="B25" s="29"/>
      <c r="C25" s="29"/>
      <c r="D25" s="29"/>
      <c r="E25" s="29"/>
      <c r="F25" s="29"/>
      <c r="G25" s="29"/>
      <c r="H25" s="29"/>
      <c r="I25" s="315"/>
      <c r="J25" s="21"/>
    </row>
    <row r="26" spans="1:10" ht="12.75">
      <c r="A26" s="470" t="s">
        <v>350</v>
      </c>
      <c r="B26" s="57" t="s">
        <v>88</v>
      </c>
      <c r="C26" s="57" t="s">
        <v>89</v>
      </c>
      <c r="D26" s="57" t="s">
        <v>90</v>
      </c>
      <c r="E26" s="57" t="s">
        <v>400</v>
      </c>
      <c r="F26" s="279"/>
      <c r="G26" s="279"/>
      <c r="H26" s="120"/>
      <c r="I26" s="465"/>
      <c r="J26" s="449"/>
    </row>
    <row r="27" spans="1:10" ht="12.75">
      <c r="A27" s="471"/>
      <c r="B27" s="57" t="s">
        <v>401</v>
      </c>
      <c r="C27" s="57" t="s">
        <v>371</v>
      </c>
      <c r="D27" s="57" t="s">
        <v>91</v>
      </c>
      <c r="E27" s="57" t="s">
        <v>92</v>
      </c>
      <c r="F27" s="279"/>
      <c r="G27" s="279"/>
      <c r="H27" s="120"/>
      <c r="I27" s="465"/>
      <c r="J27" s="449"/>
    </row>
    <row r="28" spans="1:10" ht="12.75">
      <c r="A28" s="472" t="s">
        <v>370</v>
      </c>
      <c r="B28" s="462">
        <v>73</v>
      </c>
      <c r="C28" s="462">
        <v>15</v>
      </c>
      <c r="D28" s="462">
        <v>38</v>
      </c>
      <c r="E28" s="451">
        <v>20</v>
      </c>
      <c r="F28" s="283"/>
      <c r="G28" s="283"/>
      <c r="H28" s="120"/>
      <c r="I28" s="465"/>
      <c r="J28" s="449"/>
    </row>
    <row r="29" spans="1:10" ht="12.75">
      <c r="A29" s="473" t="s">
        <v>387</v>
      </c>
      <c r="B29" s="462">
        <f>SUM(B28+B14)</f>
        <v>75.8</v>
      </c>
      <c r="C29" s="462">
        <f>SUM((1-B142)*C28+B14)</f>
        <v>10.3</v>
      </c>
      <c r="D29" s="462">
        <f>SUM(B29-C29-E29)</f>
        <v>32.833333333333336</v>
      </c>
      <c r="E29" s="451">
        <f>SUM(1/B141*D28+E28)</f>
        <v>32.666666666666664</v>
      </c>
      <c r="F29" s="285"/>
      <c r="G29" s="285"/>
      <c r="H29" s="120"/>
      <c r="I29" s="465"/>
      <c r="J29" s="449"/>
    </row>
    <row r="30" spans="1:10" ht="12.75">
      <c r="A30" s="473" t="s">
        <v>388</v>
      </c>
      <c r="B30" s="462">
        <f>SUM(B29+B15)</f>
        <v>78.6</v>
      </c>
      <c r="C30" s="462">
        <f>SUM((1-B142)*C29+B15)</f>
        <v>7.95</v>
      </c>
      <c r="D30" s="462">
        <f>SUM(B30-C30-E30)</f>
        <v>27.038888888888884</v>
      </c>
      <c r="E30" s="451">
        <f>SUM(1/B141*D29+E29)</f>
        <v>43.61111111111111</v>
      </c>
      <c r="F30" s="62"/>
      <c r="G30" s="62"/>
      <c r="H30" s="120"/>
      <c r="I30" s="465"/>
      <c r="J30" s="449"/>
    </row>
    <row r="31" spans="1:10" ht="12.75">
      <c r="A31" s="473"/>
      <c r="B31" s="462"/>
      <c r="C31" s="462"/>
      <c r="D31" s="462"/>
      <c r="E31" s="452"/>
      <c r="F31" s="62"/>
      <c r="G31" s="62"/>
      <c r="H31" s="120"/>
      <c r="I31" s="465"/>
      <c r="J31" s="449"/>
    </row>
    <row r="32" spans="1:10" ht="12.75">
      <c r="A32" s="286" t="s">
        <v>330</v>
      </c>
      <c r="B32" s="50"/>
      <c r="C32" s="50"/>
      <c r="D32" s="50"/>
      <c r="E32" s="50"/>
      <c r="F32" s="50"/>
      <c r="G32" s="50"/>
      <c r="H32" s="127"/>
      <c r="I32" s="264"/>
      <c r="J32" s="30"/>
    </row>
    <row r="33" spans="1:10" ht="12.75">
      <c r="A33" s="287" t="s">
        <v>242</v>
      </c>
      <c r="B33" s="50"/>
      <c r="C33" s="50"/>
      <c r="D33" s="50"/>
      <c r="E33" s="50"/>
      <c r="F33" s="50"/>
      <c r="G33" s="50"/>
      <c r="H33" s="127"/>
      <c r="I33" s="264"/>
      <c r="J33" s="30"/>
    </row>
    <row r="34" spans="1:10" ht="12.75">
      <c r="A34" s="287" t="s">
        <v>391</v>
      </c>
      <c r="B34" s="50"/>
      <c r="C34" s="50"/>
      <c r="D34" s="50"/>
      <c r="E34" s="50"/>
      <c r="F34" s="50"/>
      <c r="G34" s="50"/>
      <c r="H34" s="127"/>
      <c r="I34" s="264"/>
      <c r="J34" s="30"/>
    </row>
    <row r="35" spans="1:10" ht="26.25" customHeight="1">
      <c r="A35" s="887" t="s">
        <v>243</v>
      </c>
      <c r="B35" s="823"/>
      <c r="C35" s="823"/>
      <c r="D35" s="823"/>
      <c r="E35" s="823"/>
      <c r="F35" s="823"/>
      <c r="G35" s="50"/>
      <c r="H35" s="127"/>
      <c r="I35" s="264"/>
      <c r="J35" s="30"/>
    </row>
    <row r="36" spans="1:10" ht="13.5" thickBot="1">
      <c r="A36" s="474" t="s">
        <v>244</v>
      </c>
      <c r="B36" s="363"/>
      <c r="C36" s="363"/>
      <c r="D36" s="363"/>
      <c r="E36" s="363"/>
      <c r="F36" s="363"/>
      <c r="G36" s="363"/>
      <c r="H36" s="475"/>
      <c r="I36" s="476"/>
      <c r="J36" s="30"/>
    </row>
    <row r="37" spans="1:8" ht="12.75">
      <c r="A37" s="254"/>
      <c r="H37" s="20"/>
    </row>
    <row r="38" spans="1:8" ht="13.5" thickBot="1">
      <c r="A38" s="254"/>
      <c r="F38" s="714" t="s">
        <v>364</v>
      </c>
      <c r="H38" s="20"/>
    </row>
    <row r="39" spans="1:9" ht="12.75">
      <c r="A39" s="261" t="s">
        <v>245</v>
      </c>
      <c r="B39" s="155"/>
      <c r="C39" s="155"/>
      <c r="D39" s="155"/>
      <c r="E39" s="155"/>
      <c r="F39" s="155"/>
      <c r="G39" s="155"/>
      <c r="H39" s="155"/>
      <c r="I39" s="156"/>
    </row>
    <row r="40" spans="1:9" ht="12.75">
      <c r="A40" s="361"/>
      <c r="B40" s="20"/>
      <c r="C40" s="20"/>
      <c r="D40" s="20"/>
      <c r="E40" s="20"/>
      <c r="F40" s="20"/>
      <c r="G40" s="20"/>
      <c r="H40" s="20"/>
      <c r="I40" s="157"/>
    </row>
    <row r="41" spans="1:10" ht="48">
      <c r="A41" s="265" t="s">
        <v>328</v>
      </c>
      <c r="B41" s="41" t="s">
        <v>246</v>
      </c>
      <c r="C41" s="41" t="s">
        <v>329</v>
      </c>
      <c r="D41" s="41" t="s">
        <v>247</v>
      </c>
      <c r="E41" s="41" t="s">
        <v>96</v>
      </c>
      <c r="F41" s="41" t="s">
        <v>248</v>
      </c>
      <c r="G41" s="127"/>
      <c r="H41" s="127"/>
      <c r="I41" s="264"/>
      <c r="J41" s="30"/>
    </row>
    <row r="42" spans="1:10" ht="12.75">
      <c r="A42" s="265"/>
      <c r="B42" s="41"/>
      <c r="C42" s="41"/>
      <c r="D42" s="41"/>
      <c r="E42" s="41"/>
      <c r="F42" s="41"/>
      <c r="G42" s="127"/>
      <c r="H42" s="127"/>
      <c r="I42" s="264"/>
      <c r="J42" s="30"/>
    </row>
    <row r="43" spans="1:10" ht="12.75">
      <c r="A43" s="291">
        <v>2008</v>
      </c>
      <c r="B43" s="53">
        <f>SUM(B30+C43)</f>
        <v>81.39999999999999</v>
      </c>
      <c r="C43" s="53">
        <f>SUM(C13)</f>
        <v>2.8</v>
      </c>
      <c r="D43" s="241">
        <f>SUM((C30)*(1-B142)+C43)</f>
        <v>6.775</v>
      </c>
      <c r="E43" s="53">
        <f aca="true" t="shared" si="0" ref="E43:E65">SUM(B43+C43-D43-F43)</f>
        <v>24.800925925925917</v>
      </c>
      <c r="F43" s="53">
        <f>SUM(1/B141*D30+E30)</f>
        <v>52.624074074074066</v>
      </c>
      <c r="G43" s="127"/>
      <c r="H43" s="127"/>
      <c r="I43" s="264"/>
      <c r="J43" s="30"/>
    </row>
    <row r="44" spans="1:10" ht="12.75">
      <c r="A44" s="291">
        <v>2009</v>
      </c>
      <c r="B44" s="53">
        <f>SUM(B43+C44)</f>
        <v>84.19999999999999</v>
      </c>
      <c r="C44" s="53">
        <f>SUM(C13)</f>
        <v>2.8</v>
      </c>
      <c r="D44" s="241">
        <f>SUM(D43*(1-B142)+C44)</f>
        <v>6.1875</v>
      </c>
      <c r="E44" s="53">
        <f t="shared" si="0"/>
        <v>19.921450617283952</v>
      </c>
      <c r="F44" s="53">
        <f>SUM(1/B141*E43+F43)</f>
        <v>60.891049382716034</v>
      </c>
      <c r="G44" s="127"/>
      <c r="H44" s="127"/>
      <c r="I44" s="264"/>
      <c r="J44" s="30"/>
    </row>
    <row r="45" spans="1:10" ht="12.75">
      <c r="A45" s="291">
        <v>2010</v>
      </c>
      <c r="B45" s="53">
        <f>SUM(B44+C43)</f>
        <v>86.99999999999999</v>
      </c>
      <c r="C45" s="53">
        <f>SUM(C13)</f>
        <v>2.8</v>
      </c>
      <c r="D45" s="241">
        <f>SUM(D44*(1-B142)+C45)</f>
        <v>5.89375</v>
      </c>
      <c r="E45" s="53">
        <f t="shared" si="0"/>
        <v>16.374717078189306</v>
      </c>
      <c r="F45" s="53">
        <f>SUM(1/B141*E44+F44)</f>
        <v>67.53153292181068</v>
      </c>
      <c r="G45" s="127"/>
      <c r="H45" s="127"/>
      <c r="I45" s="264"/>
      <c r="J45" s="30"/>
    </row>
    <row r="46" spans="1:10" ht="12.75">
      <c r="A46" s="291">
        <v>2011</v>
      </c>
      <c r="B46" s="53">
        <f aca="true" t="shared" si="1" ref="B46:B65">SUM(B45+C44)</f>
        <v>89.79999999999998</v>
      </c>
      <c r="C46" s="53">
        <f>SUM(C13)</f>
        <v>2.8</v>
      </c>
      <c r="D46" s="241">
        <f>SUM(D45*(1-B142)+C46)</f>
        <v>5.746874999999999</v>
      </c>
      <c r="E46" s="53">
        <f t="shared" si="0"/>
        <v>13.8633530521262</v>
      </c>
      <c r="F46" s="53">
        <f>SUM(1/B141*E45+F45)</f>
        <v>72.98977194787378</v>
      </c>
      <c r="G46" s="127"/>
      <c r="H46" s="127"/>
      <c r="I46" s="264"/>
      <c r="J46" s="30"/>
    </row>
    <row r="47" spans="1:10" ht="12.75">
      <c r="A47" s="291">
        <v>2012</v>
      </c>
      <c r="B47" s="53">
        <f t="shared" si="1"/>
        <v>92.59999999999998</v>
      </c>
      <c r="C47" s="53">
        <f>SUM(C13)</f>
        <v>2.8</v>
      </c>
      <c r="D47" s="241">
        <f>SUM(D46*(1-B142)+C47)</f>
        <v>5.6734374999999995</v>
      </c>
      <c r="E47" s="53">
        <f t="shared" si="0"/>
        <v>12.115672868084133</v>
      </c>
      <c r="F47" s="53">
        <f>SUM(1/B141*E46+F46)</f>
        <v>77.61088963191584</v>
      </c>
      <c r="G47" s="127"/>
      <c r="H47" s="127"/>
      <c r="I47" s="264"/>
      <c r="J47" s="30"/>
    </row>
    <row r="48" spans="1:10" ht="12.75">
      <c r="A48" s="291">
        <v>2013</v>
      </c>
      <c r="B48" s="53">
        <f t="shared" si="1"/>
        <v>95.39999999999998</v>
      </c>
      <c r="C48" s="53">
        <f>SUM(C13)</f>
        <v>2.8</v>
      </c>
      <c r="D48" s="241">
        <f>SUM(D47*(1-B142)+C48)</f>
        <v>5.63671875</v>
      </c>
      <c r="E48" s="53">
        <f t="shared" si="0"/>
        <v>10.913833995389425</v>
      </c>
      <c r="F48" s="53">
        <f>SUM(1/B141*E47+F47)</f>
        <v>81.64944725461055</v>
      </c>
      <c r="G48" s="50"/>
      <c r="H48" s="127"/>
      <c r="I48" s="264"/>
      <c r="J48" s="30"/>
    </row>
    <row r="49" spans="1:10" ht="12.75">
      <c r="A49" s="291">
        <v>2014</v>
      </c>
      <c r="B49" s="53">
        <f t="shared" si="1"/>
        <v>98.19999999999997</v>
      </c>
      <c r="C49" s="53">
        <f>SUM(C13)</f>
        <v>2.8</v>
      </c>
      <c r="D49" s="241">
        <f>SUM(D48*(1-B142)+C49)</f>
        <v>5.618359375</v>
      </c>
      <c r="E49" s="53">
        <f t="shared" si="0"/>
        <v>10.094248705259616</v>
      </c>
      <c r="F49" s="53">
        <f>SUM(1/B141*E48+F48)</f>
        <v>85.28739191974036</v>
      </c>
      <c r="G49" s="50"/>
      <c r="H49" s="127"/>
      <c r="I49" s="264"/>
      <c r="J49" s="30"/>
    </row>
    <row r="50" spans="1:10" ht="12.75">
      <c r="A50" s="291">
        <v>2015</v>
      </c>
      <c r="B50" s="53">
        <f t="shared" si="1"/>
        <v>100.99999999999997</v>
      </c>
      <c r="C50" s="53">
        <f>SUM(C13)</f>
        <v>2.8</v>
      </c>
      <c r="D50" s="241">
        <f>SUM(D49*(1-B142)+C50)</f>
        <v>5.609179687499999</v>
      </c>
      <c r="E50" s="53">
        <f t="shared" si="0"/>
        <v>9.53867882433974</v>
      </c>
      <c r="F50" s="53">
        <f>SUM(1/B141*E49+F49)</f>
        <v>88.65214148816023</v>
      </c>
      <c r="G50" s="49"/>
      <c r="H50" s="127"/>
      <c r="I50" s="264"/>
      <c r="J50" s="30"/>
    </row>
    <row r="51" spans="1:10" ht="12.75">
      <c r="A51" s="291">
        <v>2016</v>
      </c>
      <c r="B51" s="53">
        <f t="shared" si="1"/>
        <v>103.79999999999997</v>
      </c>
      <c r="C51" s="53">
        <f>SUM(C13)</f>
        <v>2.8</v>
      </c>
      <c r="D51" s="241">
        <f>SUM(D50*(1-B142)+C51)</f>
        <v>5.6045898437499995</v>
      </c>
      <c r="E51" s="53">
        <f t="shared" si="0"/>
        <v>9.163709059976483</v>
      </c>
      <c r="F51" s="53">
        <f>SUM(1/B141*E50+F50)</f>
        <v>91.83170109627348</v>
      </c>
      <c r="G51" s="49"/>
      <c r="H51" s="127"/>
      <c r="I51" s="264"/>
      <c r="J51" s="30"/>
    </row>
    <row r="52" spans="1:10" ht="12.75">
      <c r="A52" s="291">
        <v>2017</v>
      </c>
      <c r="B52" s="53">
        <f t="shared" si="1"/>
        <v>106.59999999999997</v>
      </c>
      <c r="C52" s="53">
        <f>SUM(C13)</f>
        <v>2.8</v>
      </c>
      <c r="D52" s="241">
        <f>SUM(D51*(1-B142)+C52)</f>
        <v>5.602294921875</v>
      </c>
      <c r="E52" s="53">
        <f t="shared" si="0"/>
        <v>8.911434295192663</v>
      </c>
      <c r="F52" s="53">
        <f>SUM(1/B141*E51+F51)</f>
        <v>94.8862707829323</v>
      </c>
      <c r="G52" s="49"/>
      <c r="H52" s="127"/>
      <c r="I52" s="264"/>
      <c r="J52" s="30"/>
    </row>
    <row r="53" spans="1:10" ht="12.75">
      <c r="A53" s="291">
        <v>2018</v>
      </c>
      <c r="B53" s="53">
        <f t="shared" si="1"/>
        <v>109.39999999999996</v>
      </c>
      <c r="C53" s="53">
        <f>SUM(C13)</f>
        <v>2.8</v>
      </c>
      <c r="D53" s="241">
        <f>SUM(D52*(1-B142)+C53)</f>
        <v>5.6011474609375</v>
      </c>
      <c r="E53" s="53">
        <f t="shared" si="0"/>
        <v>8.742103657732613</v>
      </c>
      <c r="F53" s="53">
        <f>SUM(1/B141*E52+F52)</f>
        <v>97.85674888132985</v>
      </c>
      <c r="G53" s="49"/>
      <c r="H53" s="127"/>
      <c r="I53" s="264"/>
      <c r="J53" s="30"/>
    </row>
    <row r="54" spans="1:10" ht="12.75">
      <c r="A54" s="291">
        <v>2019</v>
      </c>
      <c r="B54" s="53">
        <f t="shared" si="1"/>
        <v>112.19999999999996</v>
      </c>
      <c r="C54" s="53">
        <f>SUM(C13)</f>
        <v>2.8</v>
      </c>
      <c r="D54" s="241">
        <f>SUM(D53*(1-B142)+C54)</f>
        <v>5.600573730468749</v>
      </c>
      <c r="E54" s="53">
        <f t="shared" si="0"/>
        <v>8.628642835623822</v>
      </c>
      <c r="F54" s="53">
        <f>SUM(1/B141*E53+F53)</f>
        <v>100.77078343390738</v>
      </c>
      <c r="G54" s="454"/>
      <c r="H54" s="127"/>
      <c r="I54" s="264"/>
      <c r="J54" s="30"/>
    </row>
    <row r="55" spans="1:10" ht="12.75">
      <c r="A55" s="291">
        <v>2020</v>
      </c>
      <c r="B55" s="53">
        <f t="shared" si="1"/>
        <v>114.99999999999996</v>
      </c>
      <c r="C55" s="53">
        <f>SUM(C13)</f>
        <v>2.8</v>
      </c>
      <c r="D55" s="241">
        <f>SUM(D54*(1-B142)+C55)</f>
        <v>5.6002868652343745</v>
      </c>
      <c r="E55" s="53">
        <f t="shared" si="0"/>
        <v>8.552715422316922</v>
      </c>
      <c r="F55" s="53">
        <f>SUM(1/B141*E54+F54)</f>
        <v>103.64699771244865</v>
      </c>
      <c r="G55" s="356"/>
      <c r="H55" s="127"/>
      <c r="I55" s="264"/>
      <c r="J55" s="30"/>
    </row>
    <row r="56" spans="1:10" ht="12.75">
      <c r="A56" s="291">
        <v>2021</v>
      </c>
      <c r="B56" s="53">
        <f t="shared" si="1"/>
        <v>117.79999999999995</v>
      </c>
      <c r="C56" s="53">
        <f>SUM(C13)</f>
        <v>2.8</v>
      </c>
      <c r="D56" s="241">
        <f>SUM(D55*(1-B142)+C56)</f>
        <v>5.6001434326171875</v>
      </c>
      <c r="E56" s="53">
        <f t="shared" si="0"/>
        <v>8.5019537141618</v>
      </c>
      <c r="F56" s="53">
        <f>SUM(1/B141*E55+F55)</f>
        <v>106.49790285322096</v>
      </c>
      <c r="G56" s="356"/>
      <c r="H56" s="127"/>
      <c r="I56" s="264"/>
      <c r="J56" s="30"/>
    </row>
    <row r="57" spans="1:10" ht="12.75">
      <c r="A57" s="291">
        <v>2022</v>
      </c>
      <c r="B57" s="53">
        <f t="shared" si="1"/>
        <v>120.59999999999995</v>
      </c>
      <c r="C57" s="53">
        <f>SUM(C13)</f>
        <v>2.8</v>
      </c>
      <c r="D57" s="241">
        <f>SUM(D56*(1-B142)+C57)</f>
        <v>5.600071716308594</v>
      </c>
      <c r="E57" s="53">
        <f t="shared" si="0"/>
        <v>8.468040859083132</v>
      </c>
      <c r="F57" s="53">
        <f>SUM(1/B141*E56+F56)</f>
        <v>109.33188742460823</v>
      </c>
      <c r="G57" s="356"/>
      <c r="H57" s="127"/>
      <c r="I57" s="264"/>
      <c r="J57" s="30"/>
    </row>
    <row r="58" spans="1:10" ht="12.75">
      <c r="A58" s="291">
        <v>2023</v>
      </c>
      <c r="B58" s="53">
        <f t="shared" si="1"/>
        <v>123.39999999999995</v>
      </c>
      <c r="C58" s="53">
        <f>SUM(C13)</f>
        <v>2.8</v>
      </c>
      <c r="D58" s="241">
        <f>SUM(D57*(1-B142)+C58)</f>
        <v>5.600035858154296</v>
      </c>
      <c r="E58" s="53">
        <f t="shared" si="0"/>
        <v>8.445396430876372</v>
      </c>
      <c r="F58" s="53">
        <f>SUM(1/B141*E57+F57)</f>
        <v>112.15456771096927</v>
      </c>
      <c r="G58" s="356"/>
      <c r="H58" s="127"/>
      <c r="I58" s="264"/>
      <c r="J58" s="30"/>
    </row>
    <row r="59" spans="1:10" ht="12.75">
      <c r="A59" s="291">
        <v>2024</v>
      </c>
      <c r="B59" s="53">
        <f t="shared" si="1"/>
        <v>126.19999999999995</v>
      </c>
      <c r="C59" s="53">
        <f>SUM(C13)</f>
        <v>2.8</v>
      </c>
      <c r="D59" s="241">
        <f>SUM(D58*(1-B142)+C59)</f>
        <v>5.600017929077148</v>
      </c>
      <c r="E59" s="53">
        <f t="shared" si="0"/>
        <v>8.430282216328052</v>
      </c>
      <c r="F59" s="53">
        <f>SUM(1/B141*E58+F58)</f>
        <v>114.96969985459474</v>
      </c>
      <c r="G59" s="477"/>
      <c r="H59" s="127"/>
      <c r="I59" s="264"/>
      <c r="J59" s="30"/>
    </row>
    <row r="60" spans="1:10" ht="12.75">
      <c r="A60" s="291">
        <v>2025</v>
      </c>
      <c r="B60" s="53">
        <f t="shared" si="1"/>
        <v>128.99999999999994</v>
      </c>
      <c r="C60" s="53">
        <f>SUM(C13)</f>
        <v>2.8</v>
      </c>
      <c r="D60" s="241">
        <f>SUM(D59*(1-B142)+C60)</f>
        <v>5.600008964538574</v>
      </c>
      <c r="E60" s="53">
        <f t="shared" si="0"/>
        <v>8.420197108757293</v>
      </c>
      <c r="F60" s="53">
        <f>SUM(1/B141*E59+F59)</f>
        <v>117.77979392670409</v>
      </c>
      <c r="G60" s="356"/>
      <c r="H60" s="127"/>
      <c r="I60" s="264"/>
      <c r="J60" s="30"/>
    </row>
    <row r="61" spans="1:10" ht="12.75">
      <c r="A61" s="291">
        <v>2026</v>
      </c>
      <c r="B61" s="53">
        <f t="shared" si="1"/>
        <v>131.79999999999995</v>
      </c>
      <c r="C61" s="53">
        <f>SUM(C13)</f>
        <v>2.8</v>
      </c>
      <c r="D61" s="241">
        <f>SUM(D60*(1-B142)+C61)</f>
        <v>5.600004482269287</v>
      </c>
      <c r="E61" s="53">
        <f t="shared" si="0"/>
        <v>8.41346922144082</v>
      </c>
      <c r="F61" s="53">
        <f>SUM(1/B141*E60+F60)</f>
        <v>120.58652629628985</v>
      </c>
      <c r="G61" s="49"/>
      <c r="H61" s="127"/>
      <c r="I61" s="264"/>
      <c r="J61" s="30"/>
    </row>
    <row r="62" spans="1:10" ht="12.75">
      <c r="A62" s="291">
        <v>2027</v>
      </c>
      <c r="B62" s="53">
        <f t="shared" si="1"/>
        <v>134.59999999999997</v>
      </c>
      <c r="C62" s="53">
        <f>SUM(C13)</f>
        <v>2.8</v>
      </c>
      <c r="D62" s="241">
        <f>SUM(D61*(1-B142)+C62)</f>
        <v>5.600002241134643</v>
      </c>
      <c r="E62" s="53">
        <f t="shared" si="0"/>
        <v>8.40898172209522</v>
      </c>
      <c r="F62" s="53">
        <f>SUM(1/B141*E61+F61)</f>
        <v>123.39101603677013</v>
      </c>
      <c r="G62" s="49"/>
      <c r="H62" s="127"/>
      <c r="I62" s="264"/>
      <c r="J62" s="30"/>
    </row>
    <row r="63" spans="1:10" ht="12.75">
      <c r="A63" s="291">
        <v>2028</v>
      </c>
      <c r="B63" s="53">
        <f t="shared" si="1"/>
        <v>137.39999999999998</v>
      </c>
      <c r="C63" s="53">
        <f>SUM(C13)</f>
        <v>2.8</v>
      </c>
      <c r="D63" s="241">
        <f>SUM(D62*(1-B142)+C63)</f>
        <v>5.600001120567321</v>
      </c>
      <c r="E63" s="53">
        <f t="shared" si="0"/>
        <v>8.405988935297458</v>
      </c>
      <c r="F63" s="53">
        <f>SUM(1/B141*E62+F62)</f>
        <v>126.1940099441352</v>
      </c>
      <c r="G63" s="478"/>
      <c r="H63" s="127"/>
      <c r="I63" s="264"/>
      <c r="J63" s="30"/>
    </row>
    <row r="64" spans="1:10" ht="12.75">
      <c r="A64" s="291">
        <v>2029</v>
      </c>
      <c r="B64" s="53">
        <f t="shared" si="1"/>
        <v>140.2</v>
      </c>
      <c r="C64" s="53">
        <f>SUM(C13)</f>
        <v>2.8</v>
      </c>
      <c r="D64" s="241">
        <f>SUM(D63*(1-B142)+C64)</f>
        <v>5.600000560283661</v>
      </c>
      <c r="E64" s="53">
        <f t="shared" si="0"/>
        <v>8.403993183815317</v>
      </c>
      <c r="F64" s="53">
        <f>SUM(1/B141*E63+F63)</f>
        <v>128.99600625590102</v>
      </c>
      <c r="G64" s="478"/>
      <c r="H64" s="127"/>
      <c r="I64" s="264"/>
      <c r="J64" s="30"/>
    </row>
    <row r="65" spans="1:10" ht="12.75">
      <c r="A65" s="291">
        <v>2030</v>
      </c>
      <c r="B65" s="53">
        <f t="shared" si="1"/>
        <v>143</v>
      </c>
      <c r="C65" s="53">
        <f>SUM(C13)</f>
        <v>2.8</v>
      </c>
      <c r="D65" s="241">
        <f>SUM(D64*(1-B142)+C65)</f>
        <v>5.60000028014183</v>
      </c>
      <c r="E65" s="53">
        <f t="shared" si="0"/>
        <v>8.402662402685365</v>
      </c>
      <c r="F65" s="53">
        <f>SUM(1/B141*E64+F64)</f>
        <v>131.7973373171728</v>
      </c>
      <c r="G65" s="127"/>
      <c r="H65" s="127"/>
      <c r="I65" s="264"/>
      <c r="J65" s="30"/>
    </row>
    <row r="66" spans="1:10" ht="12.75">
      <c r="A66" s="292" t="s">
        <v>331</v>
      </c>
      <c r="B66" s="54"/>
      <c r="C66" s="55">
        <f>SUM(C43:C65)</f>
        <v>64.39999999999998</v>
      </c>
      <c r="D66" s="54"/>
      <c r="E66" s="55"/>
      <c r="F66" s="53"/>
      <c r="G66" s="127"/>
      <c r="H66" s="127"/>
      <c r="I66" s="264"/>
      <c r="J66" s="30"/>
    </row>
    <row r="67" spans="1:10" ht="12.75">
      <c r="A67" s="292" t="s">
        <v>332</v>
      </c>
      <c r="B67" s="54"/>
      <c r="C67" s="124">
        <f>AVERAGE(C43:C65)</f>
        <v>2.799999999999999</v>
      </c>
      <c r="D67" s="54"/>
      <c r="E67" s="124">
        <f>AVERAGE(E43:E65)</f>
        <v>10.692280527477466</v>
      </c>
      <c r="F67" s="53"/>
      <c r="G67" s="127"/>
      <c r="H67" s="127"/>
      <c r="I67" s="264"/>
      <c r="J67" s="30"/>
    </row>
    <row r="68" spans="1:10" ht="12.75">
      <c r="A68" s="263"/>
      <c r="B68" s="42"/>
      <c r="C68" s="42"/>
      <c r="D68" s="42"/>
      <c r="E68" s="42"/>
      <c r="F68" s="201"/>
      <c r="G68" s="50"/>
      <c r="H68" s="50"/>
      <c r="I68" s="264"/>
      <c r="J68" s="30"/>
    </row>
    <row r="69" spans="1:10" ht="12.75">
      <c r="A69" s="293" t="s">
        <v>317</v>
      </c>
      <c r="B69" s="42"/>
      <c r="C69" s="42"/>
      <c r="D69" s="42"/>
      <c r="E69" s="42"/>
      <c r="F69" s="201"/>
      <c r="G69" s="127"/>
      <c r="H69" s="127"/>
      <c r="I69" s="264"/>
      <c r="J69" s="30"/>
    </row>
    <row r="70" spans="1:10" ht="12.75">
      <c r="A70" s="294" t="s">
        <v>249</v>
      </c>
      <c r="B70" s="47"/>
      <c r="C70" s="47"/>
      <c r="D70" s="47"/>
      <c r="E70" s="47"/>
      <c r="F70" s="479"/>
      <c r="G70" s="120"/>
      <c r="H70" s="120"/>
      <c r="I70" s="465"/>
      <c r="J70" s="449"/>
    </row>
    <row r="71" spans="1:10" ht="12.75">
      <c r="A71" s="294" t="s">
        <v>99</v>
      </c>
      <c r="B71" s="47"/>
      <c r="C71" s="47"/>
      <c r="D71" s="47"/>
      <c r="E71" s="47"/>
      <c r="F71" s="479"/>
      <c r="G71" s="120"/>
      <c r="H71" s="120"/>
      <c r="I71" s="465"/>
      <c r="J71" s="449"/>
    </row>
    <row r="72" spans="1:10" ht="12.75">
      <c r="A72" s="902" t="s">
        <v>250</v>
      </c>
      <c r="B72" s="930"/>
      <c r="C72" s="930"/>
      <c r="D72" s="930"/>
      <c r="E72" s="930"/>
      <c r="F72" s="930"/>
      <c r="G72" s="120"/>
      <c r="H72" s="120"/>
      <c r="I72" s="465"/>
      <c r="J72" s="449"/>
    </row>
    <row r="73" spans="1:10" ht="13.5" thickBot="1">
      <c r="A73" s="480" t="s">
        <v>251</v>
      </c>
      <c r="B73" s="467"/>
      <c r="C73" s="467"/>
      <c r="D73" s="467"/>
      <c r="E73" s="467"/>
      <c r="F73" s="467"/>
      <c r="G73" s="467"/>
      <c r="H73" s="467"/>
      <c r="I73" s="468"/>
      <c r="J73" s="449"/>
    </row>
    <row r="74" spans="1:10" ht="12.75">
      <c r="A74" s="242"/>
      <c r="B74" s="21"/>
      <c r="C74" s="21"/>
      <c r="D74" s="21"/>
      <c r="E74" s="21"/>
      <c r="F74" s="21"/>
      <c r="G74" s="21"/>
      <c r="H74" s="29"/>
      <c r="I74" s="21"/>
      <c r="J74" s="21"/>
    </row>
    <row r="75" spans="1:10" ht="13.5" thickBot="1">
      <c r="A75" s="242"/>
      <c r="B75" s="21"/>
      <c r="C75" s="21"/>
      <c r="D75" s="21"/>
      <c r="E75" s="21"/>
      <c r="G75" s="714" t="s">
        <v>364</v>
      </c>
      <c r="H75" s="29"/>
      <c r="I75" s="21"/>
      <c r="J75" s="21"/>
    </row>
    <row r="76" spans="1:10" ht="12.75">
      <c r="A76" s="295" t="s">
        <v>252</v>
      </c>
      <c r="B76" s="481"/>
      <c r="C76" s="481"/>
      <c r="D76" s="481"/>
      <c r="E76" s="481"/>
      <c r="F76" s="173"/>
      <c r="G76" s="297"/>
      <c r="H76" s="297"/>
      <c r="I76" s="331"/>
      <c r="J76" s="21"/>
    </row>
    <row r="77" spans="1:10" ht="12.75">
      <c r="A77" s="469"/>
      <c r="B77" s="28"/>
      <c r="C77" s="28"/>
      <c r="D77" s="28"/>
      <c r="E77" s="28"/>
      <c r="F77" s="28"/>
      <c r="G77" s="29"/>
      <c r="H77" s="29"/>
      <c r="I77" s="315"/>
      <c r="J77" s="21"/>
    </row>
    <row r="78" spans="1:10" ht="12.75">
      <c r="A78" s="470" t="s">
        <v>359</v>
      </c>
      <c r="B78" s="57" t="s">
        <v>254</v>
      </c>
      <c r="C78" s="57" t="s">
        <v>377</v>
      </c>
      <c r="D78" s="57" t="s">
        <v>351</v>
      </c>
      <c r="E78" s="57" t="s">
        <v>122</v>
      </c>
      <c r="F78" s="453" t="s">
        <v>355</v>
      </c>
      <c r="G78" s="57" t="s">
        <v>119</v>
      </c>
      <c r="H78" s="58" t="s">
        <v>355</v>
      </c>
      <c r="I78" s="317" t="s">
        <v>355</v>
      </c>
      <c r="J78" s="21"/>
    </row>
    <row r="79" spans="1:10" ht="12.75">
      <c r="A79" s="470" t="s">
        <v>361</v>
      </c>
      <c r="B79" s="57" t="s">
        <v>276</v>
      </c>
      <c r="C79" s="57" t="s">
        <v>354</v>
      </c>
      <c r="D79" s="57" t="s">
        <v>352</v>
      </c>
      <c r="E79" s="57" t="s">
        <v>28</v>
      </c>
      <c r="F79" s="453" t="s">
        <v>255</v>
      </c>
      <c r="G79" s="57" t="s">
        <v>28</v>
      </c>
      <c r="H79" s="58" t="s">
        <v>279</v>
      </c>
      <c r="I79" s="317" t="s">
        <v>8</v>
      </c>
      <c r="J79" s="21"/>
    </row>
    <row r="80" spans="1:10" ht="12.75">
      <c r="A80" s="302"/>
      <c r="B80" s="57" t="s">
        <v>275</v>
      </c>
      <c r="C80" s="57" t="s">
        <v>358</v>
      </c>
      <c r="D80" s="245"/>
      <c r="E80" s="57" t="s">
        <v>352</v>
      </c>
      <c r="F80" s="453" t="s">
        <v>382</v>
      </c>
      <c r="G80" s="57" t="s">
        <v>352</v>
      </c>
      <c r="H80" s="58" t="s">
        <v>382</v>
      </c>
      <c r="I80" s="317" t="s">
        <v>9</v>
      </c>
      <c r="J80" s="21"/>
    </row>
    <row r="81" spans="1:10" ht="12.75">
      <c r="A81" s="302"/>
      <c r="B81" s="57"/>
      <c r="C81" s="57" t="s">
        <v>360</v>
      </c>
      <c r="D81" s="57" t="s">
        <v>356</v>
      </c>
      <c r="E81" s="57" t="s">
        <v>381</v>
      </c>
      <c r="F81" s="453" t="s">
        <v>256</v>
      </c>
      <c r="G81" s="57" t="s">
        <v>383</v>
      </c>
      <c r="H81" s="58" t="s">
        <v>7</v>
      </c>
      <c r="I81" s="317" t="s">
        <v>7</v>
      </c>
      <c r="J81" s="21"/>
    </row>
    <row r="82" spans="1:10" ht="12.75">
      <c r="A82" s="301"/>
      <c r="B82" s="60"/>
      <c r="C82" s="60"/>
      <c r="D82" s="60"/>
      <c r="E82" s="60"/>
      <c r="F82" s="351"/>
      <c r="G82" s="60"/>
      <c r="H82" s="245"/>
      <c r="I82" s="332"/>
      <c r="J82" s="21"/>
    </row>
    <row r="83" spans="1:9" ht="12.75">
      <c r="A83" s="287" t="s">
        <v>257</v>
      </c>
      <c r="B83" s="454">
        <f>B143</f>
        <v>1</v>
      </c>
      <c r="C83" s="356">
        <f>SUM(B83*Summary!D83)</f>
        <v>717742.1394</v>
      </c>
      <c r="D83" s="455">
        <f>SUM(B141)</f>
        <v>3</v>
      </c>
      <c r="E83" s="356">
        <f>C83*D83</f>
        <v>2153226.4182</v>
      </c>
      <c r="F83" s="61">
        <f>SUM(E83*Summary!D72*Summary!D76)</f>
        <v>2949920.1929340004</v>
      </c>
      <c r="G83" s="306">
        <f>SUM(E83*Summary!D73)</f>
        <v>196804.89462348</v>
      </c>
      <c r="H83" s="370">
        <f>SUM(F83/Summary!D74)</f>
        <v>1338.0628829158768</v>
      </c>
      <c r="I83" s="338">
        <f>SUM(H83/D83)</f>
        <v>446.0209609719589</v>
      </c>
    </row>
    <row r="84" spans="1:9" ht="12.75">
      <c r="A84" s="287" t="s">
        <v>170</v>
      </c>
      <c r="B84" s="454">
        <f>B144</f>
        <v>1</v>
      </c>
      <c r="C84" s="356">
        <f>SUM(B84*Summary!D81)</f>
        <v>107661.4308</v>
      </c>
      <c r="D84" s="455">
        <f>SUM(B141)</f>
        <v>3</v>
      </c>
      <c r="E84" s="356">
        <f>C84*D84</f>
        <v>322984.29240000003</v>
      </c>
      <c r="F84" s="61">
        <f>SUM(E84*Summary!D72*Summary!D76)</f>
        <v>442488.4805880001</v>
      </c>
      <c r="G84" s="306">
        <f>SUM(E84*Summary!D73)</f>
        <v>29520.76432536</v>
      </c>
      <c r="H84" s="370">
        <f>SUM(F84/Summary!D74)</f>
        <v>200.70963730166656</v>
      </c>
      <c r="I84" s="338">
        <f>SUM(H84/D84)</f>
        <v>66.90321243388885</v>
      </c>
    </row>
    <row r="85" spans="1:9" ht="12.75">
      <c r="A85" s="287" t="s">
        <v>101</v>
      </c>
      <c r="B85" s="454">
        <f>B145</f>
        <v>1</v>
      </c>
      <c r="C85" s="356">
        <f>SUM(B85*Summary!D84*0.1)</f>
        <v>1802.196</v>
      </c>
      <c r="D85" s="455">
        <f>SUM(B141)</f>
        <v>3</v>
      </c>
      <c r="E85" s="356">
        <f>C85*D85</f>
        <v>5406.588</v>
      </c>
      <c r="F85" s="61">
        <f>SUM(E85*Summary!D72*Summary!D76)</f>
        <v>7407.02556</v>
      </c>
      <c r="G85" s="306">
        <f>SUM(E85*Summary!D73)</f>
        <v>494.16214319999995</v>
      </c>
      <c r="H85" s="370">
        <f>SUM(F85/Summary!D74)</f>
        <v>3.3597742740245486</v>
      </c>
      <c r="I85" s="338">
        <f>SUM(H85/D85)</f>
        <v>1.1199247580081828</v>
      </c>
    </row>
    <row r="86" spans="1:9" ht="12.75">
      <c r="A86" s="287" t="s">
        <v>102</v>
      </c>
      <c r="B86" s="454">
        <f>B146</f>
        <v>1</v>
      </c>
      <c r="C86" s="356">
        <f>B147</f>
        <v>89717.4927</v>
      </c>
      <c r="D86" s="455">
        <f>SUM(B141)</f>
        <v>3</v>
      </c>
      <c r="E86" s="356">
        <f>C86*D86</f>
        <v>269152.4781</v>
      </c>
      <c r="F86" s="61">
        <f>SUM(E86*Summary!D72*Summary!D76)</f>
        <v>368738.89499700005</v>
      </c>
      <c r="G86" s="306">
        <f>SUM(E86*Summary!D73)</f>
        <v>24600.53649834</v>
      </c>
      <c r="H86" s="370">
        <f>SUM(F86/Summary!D74)</f>
        <v>167.25734820377212</v>
      </c>
      <c r="I86" s="338">
        <f>SUM(H86/D86)</f>
        <v>55.75244940125737</v>
      </c>
    </row>
    <row r="87" spans="1:9" ht="12.75">
      <c r="A87" s="381" t="s">
        <v>14</v>
      </c>
      <c r="B87" s="60">
        <v>1</v>
      </c>
      <c r="C87" s="61">
        <f>SUM(B86*B148)</f>
        <v>32967</v>
      </c>
      <c r="D87" s="455">
        <f>SUM(B141)</f>
        <v>3</v>
      </c>
      <c r="E87" s="61">
        <f>C87*D87</f>
        <v>98901</v>
      </c>
      <c r="F87" s="61">
        <f>SUM(E87*Summary!D72*Summary!D76)</f>
        <v>135494.37000000002</v>
      </c>
      <c r="G87" s="306">
        <f>SUM(E87*Summary!D73)</f>
        <v>9039.5514</v>
      </c>
      <c r="H87" s="370">
        <f>SUM(F87/Summary!D74)</f>
        <v>61.45928550044907</v>
      </c>
      <c r="I87" s="338">
        <f>SUM(H87/D87)</f>
        <v>20.48642850014969</v>
      </c>
    </row>
    <row r="88" spans="1:9" ht="12.75">
      <c r="A88" s="482"/>
      <c r="B88" s="456"/>
      <c r="C88" s="456"/>
      <c r="D88" s="456"/>
      <c r="E88" s="456"/>
      <c r="F88" s="350"/>
      <c r="G88" s="456"/>
      <c r="H88" s="371"/>
      <c r="I88" s="384"/>
    </row>
    <row r="89" spans="1:9" ht="12.75">
      <c r="A89" s="483" t="s">
        <v>378</v>
      </c>
      <c r="B89" s="49"/>
      <c r="C89" s="356">
        <f>SUM(C83:C87)</f>
        <v>949890.2589</v>
      </c>
      <c r="D89" s="454"/>
      <c r="E89" s="356">
        <f>SUM(E83:E87)</f>
        <v>2849670.7767000003</v>
      </c>
      <c r="F89" s="356">
        <f>SUM(F83:F87)</f>
        <v>3904048.964079001</v>
      </c>
      <c r="G89" s="457">
        <f>SUM(G83:G87)</f>
        <v>260459.90899038</v>
      </c>
      <c r="H89" s="61">
        <f>SUM(H83:H87)</f>
        <v>1770.8489281957893</v>
      </c>
      <c r="I89" s="388">
        <f>SUM(I83:I88)</f>
        <v>590.2829760652631</v>
      </c>
    </row>
    <row r="90" spans="1:9" ht="12.75">
      <c r="A90" s="482"/>
      <c r="B90" s="350"/>
      <c r="C90" s="350"/>
      <c r="D90" s="350"/>
      <c r="E90" s="350"/>
      <c r="F90" s="350"/>
      <c r="G90" s="350"/>
      <c r="H90" s="350"/>
      <c r="I90" s="157"/>
    </row>
    <row r="91" spans="1:9" ht="12.75">
      <c r="A91" s="286" t="s">
        <v>317</v>
      </c>
      <c r="B91" s="350"/>
      <c r="C91" s="350"/>
      <c r="D91" s="350"/>
      <c r="E91" s="350"/>
      <c r="F91" s="350"/>
      <c r="G91" s="350"/>
      <c r="H91" s="350"/>
      <c r="I91" s="157"/>
    </row>
    <row r="92" spans="1:9" ht="12.75">
      <c r="A92" s="287" t="s">
        <v>258</v>
      </c>
      <c r="B92" s="350"/>
      <c r="C92" s="350"/>
      <c r="D92" s="350"/>
      <c r="E92" s="350"/>
      <c r="F92" s="350"/>
      <c r="G92" s="350"/>
      <c r="H92" s="350"/>
      <c r="I92" s="157"/>
    </row>
    <row r="93" spans="1:9" ht="12.75">
      <c r="A93" s="287" t="s">
        <v>104</v>
      </c>
      <c r="B93" s="50"/>
      <c r="C93" s="50"/>
      <c r="D93" s="50"/>
      <c r="E93" s="50"/>
      <c r="F93" s="50"/>
      <c r="G93" s="350"/>
      <c r="H93" s="350"/>
      <c r="I93" s="157"/>
    </row>
    <row r="94" spans="1:9" ht="12.75">
      <c r="A94" s="287" t="s">
        <v>259</v>
      </c>
      <c r="B94" s="350"/>
      <c r="C94" s="350"/>
      <c r="D94" s="350"/>
      <c r="E94" s="350"/>
      <c r="F94" s="350"/>
      <c r="G94" s="350"/>
      <c r="H94" s="350"/>
      <c r="I94" s="157"/>
    </row>
    <row r="95" spans="1:9" ht="12.75">
      <c r="A95" s="287" t="s">
        <v>174</v>
      </c>
      <c r="B95" s="50"/>
      <c r="C95" s="50"/>
      <c r="D95" s="50"/>
      <c r="E95" s="50"/>
      <c r="F95" s="50"/>
      <c r="G95" s="350"/>
      <c r="H95" s="350"/>
      <c r="I95" s="157"/>
    </row>
    <row r="96" spans="1:9" ht="12.75">
      <c r="A96" s="390" t="s">
        <v>175</v>
      </c>
      <c r="B96" s="50"/>
      <c r="C96" s="50"/>
      <c r="D96" s="50"/>
      <c r="E96" s="50"/>
      <c r="F96" s="50"/>
      <c r="G96" s="350"/>
      <c r="H96" s="350"/>
      <c r="I96" s="157"/>
    </row>
    <row r="97" spans="1:9" ht="12.75">
      <c r="A97" s="287" t="s">
        <v>260</v>
      </c>
      <c r="B97" s="50"/>
      <c r="C97" s="50"/>
      <c r="D97" s="50"/>
      <c r="E97" s="50"/>
      <c r="F97" s="50"/>
      <c r="G97" s="350"/>
      <c r="H97" s="350"/>
      <c r="I97" s="157"/>
    </row>
    <row r="98" spans="1:9" ht="13.5" thickBot="1">
      <c r="A98" s="484" t="s">
        <v>177</v>
      </c>
      <c r="B98" s="305"/>
      <c r="C98" s="305"/>
      <c r="D98" s="305"/>
      <c r="E98" s="305"/>
      <c r="F98" s="363"/>
      <c r="G98" s="392"/>
      <c r="H98" s="392"/>
      <c r="I98" s="188"/>
    </row>
    <row r="99" spans="1:9" ht="12.75">
      <c r="A99" s="247"/>
      <c r="B99" s="62"/>
      <c r="C99" s="62"/>
      <c r="D99" s="62"/>
      <c r="E99" s="62"/>
      <c r="F99" s="50"/>
      <c r="G99" s="350"/>
      <c r="H99" s="350"/>
      <c r="I99" s="20"/>
    </row>
    <row r="100" spans="1:9" ht="12.75">
      <c r="A100" s="247"/>
      <c r="B100" s="62"/>
      <c r="C100" s="62"/>
      <c r="D100" s="62"/>
      <c r="E100" s="62"/>
      <c r="G100" s="350"/>
      <c r="H100" s="350"/>
      <c r="I100" s="20"/>
    </row>
    <row r="101" spans="1:9" ht="13.5" thickBot="1">
      <c r="A101" s="247"/>
      <c r="B101" s="62"/>
      <c r="C101" s="62"/>
      <c r="D101" s="62"/>
      <c r="E101" s="62"/>
      <c r="F101" s="50"/>
      <c r="G101" s="350"/>
      <c r="H101" s="350"/>
      <c r="I101" s="20"/>
    </row>
    <row r="102" spans="1:9" ht="15">
      <c r="A102" s="310" t="s">
        <v>268</v>
      </c>
      <c r="B102" s="311"/>
      <c r="C102" s="311"/>
      <c r="D102" s="311"/>
      <c r="E102" s="311"/>
      <c r="F102" s="311"/>
      <c r="G102" s="189"/>
      <c r="H102" s="312"/>
      <c r="I102" s="313"/>
    </row>
    <row r="103" spans="1:9" ht="12.75">
      <c r="A103" s="314"/>
      <c r="B103" s="28"/>
      <c r="C103" s="28"/>
      <c r="D103" s="28"/>
      <c r="E103" s="28"/>
      <c r="F103" s="28"/>
      <c r="G103" s="136"/>
      <c r="H103" s="29"/>
      <c r="I103" s="315"/>
    </row>
    <row r="104" spans="1:9" ht="12.75">
      <c r="A104" s="316" t="s">
        <v>359</v>
      </c>
      <c r="B104" s="57" t="s">
        <v>20</v>
      </c>
      <c r="C104" s="57" t="s">
        <v>377</v>
      </c>
      <c r="D104" s="57" t="s">
        <v>351</v>
      </c>
      <c r="E104" s="57" t="s">
        <v>29</v>
      </c>
      <c r="F104" s="58" t="s">
        <v>355</v>
      </c>
      <c r="G104" s="137" t="s">
        <v>27</v>
      </c>
      <c r="H104" s="58" t="s">
        <v>355</v>
      </c>
      <c r="I104" s="317" t="s">
        <v>355</v>
      </c>
    </row>
    <row r="105" spans="1:9" ht="12.75">
      <c r="A105" s="316" t="s">
        <v>44</v>
      </c>
      <c r="B105" s="57" t="s">
        <v>16</v>
      </c>
      <c r="C105" s="57" t="s">
        <v>17</v>
      </c>
      <c r="D105" s="57" t="s">
        <v>352</v>
      </c>
      <c r="E105" s="57" t="s">
        <v>28</v>
      </c>
      <c r="F105" s="58" t="s">
        <v>30</v>
      </c>
      <c r="G105" s="137" t="s">
        <v>28</v>
      </c>
      <c r="H105" s="58" t="s">
        <v>30</v>
      </c>
      <c r="I105" s="317" t="s">
        <v>8</v>
      </c>
    </row>
    <row r="106" spans="1:9" ht="12.75">
      <c r="A106" s="318"/>
      <c r="B106" s="57"/>
      <c r="C106" s="57" t="s">
        <v>358</v>
      </c>
      <c r="D106" s="57"/>
      <c r="E106" s="57" t="s">
        <v>352</v>
      </c>
      <c r="F106" s="58" t="s">
        <v>382</v>
      </c>
      <c r="G106" s="137" t="s">
        <v>352</v>
      </c>
      <c r="H106" s="58" t="s">
        <v>382</v>
      </c>
      <c r="I106" s="317" t="s">
        <v>9</v>
      </c>
    </row>
    <row r="107" spans="1:9" ht="12.75">
      <c r="A107" s="318"/>
      <c r="B107" s="57"/>
      <c r="C107" s="57" t="s">
        <v>18</v>
      </c>
      <c r="D107" s="57" t="s">
        <v>356</v>
      </c>
      <c r="E107" s="57" t="s">
        <v>19</v>
      </c>
      <c r="F107" s="58" t="s">
        <v>414</v>
      </c>
      <c r="G107" s="137" t="s">
        <v>2</v>
      </c>
      <c r="H107" s="58" t="s">
        <v>7</v>
      </c>
      <c r="I107" s="317" t="s">
        <v>7</v>
      </c>
    </row>
    <row r="108" spans="1:9" ht="24">
      <c r="A108" s="319" t="s">
        <v>15</v>
      </c>
      <c r="B108" s="60">
        <v>1</v>
      </c>
      <c r="C108" s="61">
        <f>SUM(B149)</f>
        <v>1976</v>
      </c>
      <c r="D108" s="61">
        <f>SUM(B141)</f>
        <v>3</v>
      </c>
      <c r="E108" s="61">
        <f>C108*D108</f>
        <v>5928</v>
      </c>
      <c r="F108" s="61">
        <f>SUM(E108*Summary!D85)</f>
        <v>115975.392</v>
      </c>
      <c r="G108" s="138">
        <f>SUM(E108*Summary!D87)</f>
        <v>17902.56</v>
      </c>
      <c r="H108" s="61">
        <f>F108/Summary!D74</f>
        <v>52.605615480218816</v>
      </c>
      <c r="I108" s="320">
        <f>SUM(H108/D108)</f>
        <v>17.535205160072938</v>
      </c>
    </row>
    <row r="109" spans="1:9" ht="12.75">
      <c r="A109" s="321"/>
      <c r="B109" s="60"/>
      <c r="C109" s="61"/>
      <c r="D109" s="61"/>
      <c r="E109" s="61"/>
      <c r="F109" s="61"/>
      <c r="G109" s="138"/>
      <c r="H109" s="61"/>
      <c r="I109" s="322"/>
    </row>
    <row r="110" spans="1:9" ht="12.75">
      <c r="A110" s="323" t="s">
        <v>378</v>
      </c>
      <c r="B110" s="60"/>
      <c r="C110" s="61">
        <f aca="true" t="shared" si="2" ref="C110:I110">SUM(C108:C109)</f>
        <v>1976</v>
      </c>
      <c r="D110" s="61">
        <f t="shared" si="2"/>
        <v>3</v>
      </c>
      <c r="E110" s="61">
        <f t="shared" si="2"/>
        <v>5928</v>
      </c>
      <c r="F110" s="61">
        <f t="shared" si="2"/>
        <v>115975.392</v>
      </c>
      <c r="G110" s="138">
        <f t="shared" si="2"/>
        <v>17902.56</v>
      </c>
      <c r="H110" s="61">
        <f t="shared" si="2"/>
        <v>52.605615480218816</v>
      </c>
      <c r="I110" s="320">
        <f t="shared" si="2"/>
        <v>17.535205160072938</v>
      </c>
    </row>
    <row r="111" spans="1:9" ht="12.75">
      <c r="A111" s="323"/>
      <c r="B111" s="60"/>
      <c r="C111" s="61"/>
      <c r="D111" s="61"/>
      <c r="E111" s="61"/>
      <c r="F111" s="61"/>
      <c r="G111" s="139"/>
      <c r="H111" s="97"/>
      <c r="I111" s="324"/>
    </row>
    <row r="112" spans="1:9" ht="13.5" thickBot="1">
      <c r="A112" s="325" t="s">
        <v>129</v>
      </c>
      <c r="B112" s="326"/>
      <c r="C112" s="326"/>
      <c r="D112" s="326"/>
      <c r="E112" s="327"/>
      <c r="F112" s="327"/>
      <c r="G112" s="328"/>
      <c r="H112" s="329"/>
      <c r="I112" s="330"/>
    </row>
    <row r="113" spans="1:9" ht="12.75">
      <c r="A113" s="247"/>
      <c r="B113" s="62"/>
      <c r="C113" s="62"/>
      <c r="D113" s="62"/>
      <c r="E113" s="62"/>
      <c r="F113" s="50"/>
      <c r="G113" s="350"/>
      <c r="H113" s="350"/>
      <c r="I113" s="20"/>
    </row>
    <row r="114" spans="1:9" ht="12.75">
      <c r="A114" s="247"/>
      <c r="B114" s="62"/>
      <c r="C114" s="62"/>
      <c r="D114" s="62"/>
      <c r="E114" s="62"/>
      <c r="F114" s="714" t="s">
        <v>364</v>
      </c>
      <c r="G114" s="350"/>
      <c r="H114" s="350"/>
      <c r="I114" s="20"/>
    </row>
    <row r="115" spans="1:9" ht="13.5" thickBot="1">
      <c r="A115" s="485"/>
      <c r="B115" s="100"/>
      <c r="C115" s="101"/>
      <c r="D115" s="101"/>
      <c r="E115" s="101"/>
      <c r="F115" s="102"/>
      <c r="G115" s="458"/>
      <c r="H115" s="20"/>
      <c r="I115" s="20"/>
    </row>
    <row r="116" spans="1:9" ht="12.75">
      <c r="A116" s="395" t="s">
        <v>146</v>
      </c>
      <c r="B116" s="396"/>
      <c r="C116" s="397"/>
      <c r="D116" s="397"/>
      <c r="E116" s="397"/>
      <c r="F116" s="398"/>
      <c r="G116" s="173"/>
      <c r="H116" s="173"/>
      <c r="I116" s="399"/>
    </row>
    <row r="117" spans="1:9" ht="12.75">
      <c r="A117" s="400"/>
      <c r="B117" s="249"/>
      <c r="C117" s="125"/>
      <c r="D117" s="125"/>
      <c r="E117" s="125"/>
      <c r="F117" s="126"/>
      <c r="G117" s="62"/>
      <c r="H117" s="62"/>
      <c r="I117" s="335"/>
    </row>
    <row r="118" spans="1:9" ht="12.75">
      <c r="A118" s="400"/>
      <c r="B118" s="907" t="s">
        <v>68</v>
      </c>
      <c r="C118" s="832"/>
      <c r="D118" s="907" t="s">
        <v>37</v>
      </c>
      <c r="E118" s="832"/>
      <c r="F118" s="827" t="s">
        <v>35</v>
      </c>
      <c r="G118" s="832"/>
      <c r="H118" s="827" t="s">
        <v>36</v>
      </c>
      <c r="I118" s="828"/>
    </row>
    <row r="119" spans="1:9" ht="12.75">
      <c r="A119" s="400"/>
      <c r="B119" s="98" t="s">
        <v>377</v>
      </c>
      <c r="C119" s="98" t="s">
        <v>379</v>
      </c>
      <c r="D119" s="98" t="s">
        <v>377</v>
      </c>
      <c r="E119" s="98" t="s">
        <v>379</v>
      </c>
      <c r="F119" s="99" t="s">
        <v>377</v>
      </c>
      <c r="G119" s="98" t="s">
        <v>379</v>
      </c>
      <c r="H119" s="99" t="s">
        <v>377</v>
      </c>
      <c r="I119" s="401" t="s">
        <v>379</v>
      </c>
    </row>
    <row r="120" spans="1:9" ht="12.75">
      <c r="A120" s="400"/>
      <c r="B120" s="98" t="s">
        <v>351</v>
      </c>
      <c r="C120" s="98" t="s">
        <v>148</v>
      </c>
      <c r="D120" s="98" t="s">
        <v>351</v>
      </c>
      <c r="E120" s="98" t="s">
        <v>148</v>
      </c>
      <c r="F120" s="99" t="s">
        <v>351</v>
      </c>
      <c r="G120" s="98" t="s">
        <v>380</v>
      </c>
      <c r="H120" s="99" t="s">
        <v>351</v>
      </c>
      <c r="I120" s="401" t="s">
        <v>380</v>
      </c>
    </row>
    <row r="121" spans="1:9" ht="13.5" thickBot="1">
      <c r="A121" s="400"/>
      <c r="B121" s="226" t="s">
        <v>360</v>
      </c>
      <c r="C121" s="226" t="s">
        <v>381</v>
      </c>
      <c r="D121" s="226" t="s">
        <v>19</v>
      </c>
      <c r="E121" s="226" t="s">
        <v>19</v>
      </c>
      <c r="F121" s="227" t="s">
        <v>31</v>
      </c>
      <c r="G121" s="227" t="s">
        <v>31</v>
      </c>
      <c r="H121" s="228" t="s">
        <v>383</v>
      </c>
      <c r="I121" s="402" t="s">
        <v>383</v>
      </c>
    </row>
    <row r="122" spans="1:9" ht="12.75">
      <c r="A122" s="400"/>
      <c r="B122" s="98"/>
      <c r="C122" s="98"/>
      <c r="D122" s="99"/>
      <c r="E122" s="98"/>
      <c r="F122" s="250"/>
      <c r="G122" s="62"/>
      <c r="H122" s="62"/>
      <c r="I122" s="335"/>
    </row>
    <row r="123" spans="1:9" ht="13.5" thickBot="1">
      <c r="A123" s="403" t="s">
        <v>378</v>
      </c>
      <c r="B123" s="404">
        <f>SUM(C89)</f>
        <v>949890.2589</v>
      </c>
      <c r="C123" s="405">
        <f>SUM(B123*23)</f>
        <v>21847475.9547</v>
      </c>
      <c r="D123" s="405">
        <f>SUM(C110)</f>
        <v>1976</v>
      </c>
      <c r="E123" s="405">
        <f>SUM(D123*23)</f>
        <v>45448</v>
      </c>
      <c r="F123" s="406">
        <f>SUM(I89+I110)</f>
        <v>607.818181225336</v>
      </c>
      <c r="G123" s="405">
        <f>SUM(F123*23)</f>
        <v>13979.81816818273</v>
      </c>
      <c r="H123" s="405">
        <f>SUM(G89/B141+G110/B141)</f>
        <v>92787.48966346</v>
      </c>
      <c r="I123" s="407">
        <f>SUM(H123*23)</f>
        <v>2134112.26225958</v>
      </c>
    </row>
    <row r="124" spans="1:9" ht="13.5" thickBot="1">
      <c r="A124" s="365"/>
      <c r="B124" s="365"/>
      <c r="C124" s="365"/>
      <c r="D124" s="365"/>
      <c r="E124" s="365"/>
      <c r="F124" s="254"/>
      <c r="G124" s="254"/>
      <c r="H124" s="405"/>
      <c r="I124" s="20"/>
    </row>
    <row r="125" spans="2:9" ht="12.75">
      <c r="B125" s="365"/>
      <c r="C125" s="365"/>
      <c r="D125" s="365"/>
      <c r="E125" s="365"/>
      <c r="F125" s="254"/>
      <c r="G125" s="254"/>
      <c r="H125" s="20"/>
      <c r="I125" s="20"/>
    </row>
    <row r="126" spans="1:9" ht="12.75">
      <c r="A126" s="365"/>
      <c r="B126" s="365"/>
      <c r="C126" s="365"/>
      <c r="D126" s="365"/>
      <c r="E126" s="365"/>
      <c r="F126" s="254"/>
      <c r="G126" s="254"/>
      <c r="H126" s="20"/>
      <c r="I126" s="20"/>
    </row>
    <row r="127" spans="1:9" ht="13.5" thickBot="1">
      <c r="A127" s="365"/>
      <c r="B127" s="365"/>
      <c r="C127" s="365"/>
      <c r="D127" s="365"/>
      <c r="E127" s="365"/>
      <c r="F127" s="254"/>
      <c r="G127" s="254"/>
      <c r="H127" s="20"/>
      <c r="I127" s="20"/>
    </row>
    <row r="128" spans="1:9" ht="12.75">
      <c r="A128" s="408" t="s">
        <v>147</v>
      </c>
      <c r="B128" s="409"/>
      <c r="C128" s="410"/>
      <c r="D128" s="410"/>
      <c r="E128" s="410"/>
      <c r="F128" s="411"/>
      <c r="G128" s="412"/>
      <c r="H128" s="297"/>
      <c r="I128" s="331"/>
    </row>
    <row r="129" spans="1:9" ht="12.75">
      <c r="A129" s="413"/>
      <c r="B129" s="100"/>
      <c r="C129" s="101"/>
      <c r="D129" s="101"/>
      <c r="E129" s="101"/>
      <c r="F129" s="102"/>
      <c r="G129" s="414"/>
      <c r="H129" s="29"/>
      <c r="I129" s="315"/>
    </row>
    <row r="130" spans="1:9" ht="12.75">
      <c r="A130" s="415"/>
      <c r="B130" s="907" t="s">
        <v>67</v>
      </c>
      <c r="C130" s="832"/>
      <c r="D130" s="907" t="s">
        <v>40</v>
      </c>
      <c r="E130" s="832"/>
      <c r="F130" s="827" t="s">
        <v>41</v>
      </c>
      <c r="G130" s="832"/>
      <c r="H130" s="827" t="s">
        <v>42</v>
      </c>
      <c r="I130" s="828"/>
    </row>
    <row r="131" spans="1:9" ht="12.75">
      <c r="A131" s="415"/>
      <c r="B131" s="98" t="s">
        <v>377</v>
      </c>
      <c r="C131" s="98" t="s">
        <v>379</v>
      </c>
      <c r="D131" s="98" t="s">
        <v>377</v>
      </c>
      <c r="E131" s="98" t="s">
        <v>379</v>
      </c>
      <c r="F131" s="99" t="s">
        <v>377</v>
      </c>
      <c r="G131" s="98" t="s">
        <v>379</v>
      </c>
      <c r="H131" s="99" t="s">
        <v>377</v>
      </c>
      <c r="I131" s="401" t="s">
        <v>379</v>
      </c>
    </row>
    <row r="132" spans="1:9" ht="12.75">
      <c r="A132" s="415"/>
      <c r="B132" s="98" t="s">
        <v>351</v>
      </c>
      <c r="C132" s="98" t="s">
        <v>380</v>
      </c>
      <c r="D132" s="98" t="s">
        <v>351</v>
      </c>
      <c r="E132" s="98" t="s">
        <v>380</v>
      </c>
      <c r="F132" s="99" t="s">
        <v>351</v>
      </c>
      <c r="G132" s="98" t="s">
        <v>380</v>
      </c>
      <c r="H132" s="99" t="s">
        <v>351</v>
      </c>
      <c r="I132" s="401" t="s">
        <v>380</v>
      </c>
    </row>
    <row r="133" spans="1:9" ht="13.5" thickBot="1">
      <c r="A133" s="415"/>
      <c r="B133" s="226" t="s">
        <v>360</v>
      </c>
      <c r="C133" s="226" t="s">
        <v>381</v>
      </c>
      <c r="D133" s="226" t="s">
        <v>19</v>
      </c>
      <c r="E133" s="226" t="s">
        <v>19</v>
      </c>
      <c r="F133" s="227" t="s">
        <v>31</v>
      </c>
      <c r="G133" s="227" t="s">
        <v>31</v>
      </c>
      <c r="H133" s="228" t="s">
        <v>383</v>
      </c>
      <c r="I133" s="402" t="s">
        <v>383</v>
      </c>
    </row>
    <row r="134" spans="1:9" ht="12.75">
      <c r="A134" s="400"/>
      <c r="B134" s="418">
        <f>SUM(B123*E67)</f>
        <v>10156493.118477</v>
      </c>
      <c r="C134" s="418">
        <f>SUM(B134*23)</f>
        <v>233599341.724971</v>
      </c>
      <c r="D134" s="418">
        <f>SUM(D123*E67)</f>
        <v>21127.946322295473</v>
      </c>
      <c r="E134" s="418">
        <f>SUM(D134*23)</f>
        <v>485942.7654127959</v>
      </c>
      <c r="F134" s="418">
        <f>SUM(F123*E67)</f>
        <v>6498.962503362431</v>
      </c>
      <c r="G134" s="418">
        <f>SUM(F134*23)</f>
        <v>149476.1375773359</v>
      </c>
      <c r="H134" s="418">
        <f>SUM(H123*E67)</f>
        <v>992109.8689221301</v>
      </c>
      <c r="I134" s="713">
        <f>SUM(H134*23)</f>
        <v>22818526.985208992</v>
      </c>
    </row>
    <row r="135" spans="1:9" ht="13.5" thickBot="1">
      <c r="A135" s="403" t="s">
        <v>378</v>
      </c>
      <c r="B135" s="417"/>
      <c r="C135" s="417"/>
      <c r="D135" s="417"/>
      <c r="E135" s="417"/>
      <c r="F135" s="417"/>
      <c r="G135" s="417"/>
      <c r="H135" s="417"/>
      <c r="I135" s="407"/>
    </row>
    <row r="136" spans="1:9" ht="12.75">
      <c r="A136" s="365"/>
      <c r="B136" s="365"/>
      <c r="C136" s="365"/>
      <c r="D136" s="365"/>
      <c r="E136" s="365"/>
      <c r="F136" s="254"/>
      <c r="G136" s="254"/>
      <c r="H136" s="20"/>
      <c r="I136" s="20"/>
    </row>
    <row r="137" spans="1:9" ht="13.5" thickBot="1">
      <c r="A137" s="494"/>
      <c r="B137" s="459"/>
      <c r="C137" s="459"/>
      <c r="D137" s="29"/>
      <c r="E137" s="29"/>
      <c r="F137" s="714" t="s">
        <v>364</v>
      </c>
      <c r="G137" s="20"/>
      <c r="H137" s="20"/>
      <c r="I137" s="20"/>
    </row>
    <row r="138" spans="1:9" ht="15.75" thickTop="1">
      <c r="A138" s="934" t="s">
        <v>197</v>
      </c>
      <c r="B138" s="935"/>
      <c r="C138" s="935"/>
      <c r="D138" s="935"/>
      <c r="E138" s="935"/>
      <c r="F138" s="935"/>
      <c r="G138" s="935"/>
      <c r="H138" s="935"/>
      <c r="I138" s="936"/>
    </row>
    <row r="139" spans="1:9" ht="26.25" thickBot="1">
      <c r="A139" s="443" t="s">
        <v>198</v>
      </c>
      <c r="B139" s="444" t="s">
        <v>302</v>
      </c>
      <c r="C139" s="919" t="s">
        <v>303</v>
      </c>
      <c r="D139" s="920"/>
      <c r="E139" s="920"/>
      <c r="F139" s="920"/>
      <c r="G139" s="920"/>
      <c r="H139" s="920"/>
      <c r="I139" s="943"/>
    </row>
    <row r="140" spans="1:9" ht="51.75" thickTop="1">
      <c r="A140" s="487" t="s">
        <v>261</v>
      </c>
      <c r="B140" s="488">
        <f>SUM(C13)</f>
        <v>2.8</v>
      </c>
      <c r="C140" s="937" t="s">
        <v>107</v>
      </c>
      <c r="D140" s="937"/>
      <c r="E140" s="937"/>
      <c r="F140" s="773"/>
      <c r="G140" s="773"/>
      <c r="H140" s="773"/>
      <c r="I140" s="938"/>
    </row>
    <row r="141" spans="1:9" ht="38.25">
      <c r="A141" s="487" t="s">
        <v>262</v>
      </c>
      <c r="B141" s="460">
        <v>3</v>
      </c>
      <c r="C141" s="937" t="s">
        <v>263</v>
      </c>
      <c r="D141" s="937"/>
      <c r="E141" s="937"/>
      <c r="F141" s="773"/>
      <c r="G141" s="773"/>
      <c r="H141" s="773"/>
      <c r="I141" s="938"/>
    </row>
    <row r="142" spans="1:9" ht="63.75">
      <c r="A142" s="489" t="s">
        <v>264</v>
      </c>
      <c r="B142" s="460">
        <v>0.5</v>
      </c>
      <c r="C142" s="937" t="s">
        <v>180</v>
      </c>
      <c r="D142" s="937"/>
      <c r="E142" s="937"/>
      <c r="F142" s="773"/>
      <c r="G142" s="773"/>
      <c r="H142" s="773"/>
      <c r="I142" s="938"/>
    </row>
    <row r="143" spans="1:9" ht="25.5">
      <c r="A143" s="487" t="s">
        <v>265</v>
      </c>
      <c r="B143" s="460">
        <v>1</v>
      </c>
      <c r="C143" s="937" t="s">
        <v>418</v>
      </c>
      <c r="D143" s="937"/>
      <c r="E143" s="937"/>
      <c r="F143" s="773"/>
      <c r="G143" s="773"/>
      <c r="H143" s="773"/>
      <c r="I143" s="938"/>
    </row>
    <row r="144" spans="1:9" ht="25.5">
      <c r="A144" s="487" t="s">
        <v>111</v>
      </c>
      <c r="B144" s="460">
        <v>1</v>
      </c>
      <c r="C144" s="937" t="s">
        <v>420</v>
      </c>
      <c r="D144" s="937"/>
      <c r="E144" s="937"/>
      <c r="F144" s="773"/>
      <c r="G144" s="773"/>
      <c r="H144" s="773"/>
      <c r="I144" s="938"/>
    </row>
    <row r="145" spans="1:9" ht="38.25">
      <c r="A145" s="489" t="s">
        <v>112</v>
      </c>
      <c r="B145" s="460">
        <v>1</v>
      </c>
      <c r="C145" s="937" t="s">
        <v>419</v>
      </c>
      <c r="D145" s="937"/>
      <c r="E145" s="937"/>
      <c r="F145" s="773"/>
      <c r="G145" s="773"/>
      <c r="H145" s="773"/>
      <c r="I145" s="938"/>
    </row>
    <row r="146" spans="1:9" ht="25.5">
      <c r="A146" s="487" t="s">
        <v>113</v>
      </c>
      <c r="B146" s="461">
        <v>1</v>
      </c>
      <c r="C146" s="937" t="s">
        <v>440</v>
      </c>
      <c r="D146" s="937"/>
      <c r="E146" s="937"/>
      <c r="F146" s="773"/>
      <c r="G146" s="773"/>
      <c r="H146" s="773"/>
      <c r="I146" s="938"/>
    </row>
    <row r="147" spans="1:9" ht="38.25">
      <c r="A147" s="490" t="s">
        <v>296</v>
      </c>
      <c r="B147" s="255">
        <f>SUM(81643*Summary!D75)</f>
        <v>89717.4927</v>
      </c>
      <c r="C147" s="937" t="s">
        <v>429</v>
      </c>
      <c r="D147" s="937"/>
      <c r="E147" s="937"/>
      <c r="F147" s="773"/>
      <c r="G147" s="773"/>
      <c r="H147" s="773"/>
      <c r="I147" s="938"/>
    </row>
    <row r="148" spans="1:9" ht="38.25">
      <c r="A148" s="621" t="s">
        <v>57</v>
      </c>
      <c r="B148" s="645">
        <f>SUM(30000*Summary!D75)</f>
        <v>32967</v>
      </c>
      <c r="C148" s="931" t="s">
        <v>426</v>
      </c>
      <c r="D148" s="932"/>
      <c r="E148" s="932"/>
      <c r="F148" s="932"/>
      <c r="G148" s="932"/>
      <c r="H148" s="932"/>
      <c r="I148" s="933"/>
    </row>
    <row r="149" spans="1:9" ht="25.5">
      <c r="A149" s="622" t="s">
        <v>195</v>
      </c>
      <c r="B149" s="623">
        <v>1976</v>
      </c>
      <c r="C149" s="931" t="s">
        <v>267</v>
      </c>
      <c r="D149" s="932"/>
      <c r="E149" s="932"/>
      <c r="F149" s="932"/>
      <c r="G149" s="932"/>
      <c r="H149" s="932"/>
      <c r="I149" s="933"/>
    </row>
    <row r="150" spans="1:9" ht="12.75">
      <c r="A150" s="491"/>
      <c r="B150" s="495"/>
      <c r="C150" s="774"/>
      <c r="D150" s="878"/>
      <c r="E150" s="878"/>
      <c r="F150" s="878"/>
      <c r="G150" s="878"/>
      <c r="H150" s="878"/>
      <c r="I150" s="939"/>
    </row>
    <row r="151" spans="1:9" ht="12.75">
      <c r="A151" s="491"/>
      <c r="B151" s="495"/>
      <c r="C151" s="774"/>
      <c r="D151" s="878"/>
      <c r="E151" s="878"/>
      <c r="F151" s="878"/>
      <c r="G151" s="878"/>
      <c r="H151" s="878"/>
      <c r="I151" s="939"/>
    </row>
    <row r="152" spans="1:9" ht="12.75">
      <c r="A152" s="491"/>
      <c r="B152" s="495"/>
      <c r="C152" s="774"/>
      <c r="D152" s="878"/>
      <c r="E152" s="878"/>
      <c r="F152" s="878"/>
      <c r="G152" s="878"/>
      <c r="H152" s="878"/>
      <c r="I152" s="939"/>
    </row>
    <row r="153" spans="1:9" ht="13.5" thickBot="1">
      <c r="A153" s="492"/>
      <c r="B153" s="496"/>
      <c r="C153" s="940"/>
      <c r="D153" s="941"/>
      <c r="E153" s="941"/>
      <c r="F153" s="941"/>
      <c r="G153" s="941"/>
      <c r="H153" s="941"/>
      <c r="I153" s="942"/>
    </row>
    <row r="154" ht="13.5" thickTop="1"/>
    <row r="156" ht="12.75">
      <c r="F156" s="714" t="s">
        <v>364</v>
      </c>
    </row>
  </sheetData>
  <mergeCells count="28">
    <mergeCell ref="A1:I1"/>
    <mergeCell ref="C148:I148"/>
    <mergeCell ref="B118:C118"/>
    <mergeCell ref="D118:E118"/>
    <mergeCell ref="F118:G118"/>
    <mergeCell ref="H118:I118"/>
    <mergeCell ref="B130:C130"/>
    <mergeCell ref="D130:E130"/>
    <mergeCell ref="C139:I139"/>
    <mergeCell ref="C140:I140"/>
    <mergeCell ref="C152:I152"/>
    <mergeCell ref="C153:I153"/>
    <mergeCell ref="C142:I142"/>
    <mergeCell ref="C143:I143"/>
    <mergeCell ref="C144:I144"/>
    <mergeCell ref="C145:I145"/>
    <mergeCell ref="C151:I151"/>
    <mergeCell ref="C146:I146"/>
    <mergeCell ref="C147:I147"/>
    <mergeCell ref="C150:I150"/>
    <mergeCell ref="A20:F20"/>
    <mergeCell ref="A35:F35"/>
    <mergeCell ref="A72:F72"/>
    <mergeCell ref="C149:I149"/>
    <mergeCell ref="F130:G130"/>
    <mergeCell ref="H130:I130"/>
    <mergeCell ref="A138:I138"/>
    <mergeCell ref="C141:I141"/>
  </mergeCells>
  <printOptions/>
  <pageMargins left="0.5" right="0.5" top="0.5" bottom="0.5" header="0.25" footer="0.25"/>
  <pageSetup horizontalDpi="600" verticalDpi="600" orientation="landscape" r:id="rId1"/>
  <headerFooter alignWithMargins="0">
    <oddFooter>&amp;CPage &amp;P of &amp;N</oddFooter>
  </headerFooter>
  <rowBreaks count="4" manualBreakCount="4">
    <brk id="38" max="255" man="1"/>
    <brk id="75" max="255" man="1"/>
    <brk id="115" max="255" man="1"/>
    <brk id="137" max="255" man="1"/>
  </rowBreaks>
</worksheet>
</file>

<file path=xl/worksheets/sheet8.xml><?xml version="1.0" encoding="utf-8"?>
<worksheet xmlns="http://schemas.openxmlformats.org/spreadsheetml/2006/main" xmlns:r="http://schemas.openxmlformats.org/officeDocument/2006/relationships">
  <sheetPr codeName="Sheet8"/>
  <dimension ref="A1:I150"/>
  <sheetViews>
    <sheetView workbookViewId="0" topLeftCell="A115">
      <selection activeCell="A130" sqref="A130"/>
    </sheetView>
  </sheetViews>
  <sheetFormatPr defaultColWidth="9.140625" defaultRowHeight="12.75"/>
  <cols>
    <col min="1" max="1" width="22.140625" style="0" customWidth="1"/>
    <col min="2" max="2" width="13.57421875" style="0" customWidth="1"/>
    <col min="3" max="3" width="12.8515625" style="0" customWidth="1"/>
    <col min="4" max="5" width="12.00390625" style="0" customWidth="1"/>
    <col min="6" max="7" width="12.421875" style="0" customWidth="1"/>
    <col min="8" max="8" width="11.8515625" style="0" customWidth="1"/>
    <col min="9" max="9" width="12.28125" style="0" customWidth="1"/>
  </cols>
  <sheetData>
    <row r="1" spans="1:9" ht="20.25">
      <c r="A1" s="833" t="s">
        <v>410</v>
      </c>
      <c r="B1" s="834"/>
      <c r="C1" s="834"/>
      <c r="D1" s="834"/>
      <c r="E1" s="834"/>
      <c r="F1" s="834"/>
      <c r="G1" s="834"/>
      <c r="H1" s="834"/>
      <c r="I1" s="767"/>
    </row>
    <row r="2" ht="15.75">
      <c r="A2" s="342" t="s">
        <v>199</v>
      </c>
    </row>
    <row r="3" spans="1:5" ht="12.75">
      <c r="A3" s="1" t="s">
        <v>438</v>
      </c>
      <c r="B3" s="20"/>
      <c r="C3" s="20"/>
      <c r="D3" s="20"/>
      <c r="E3" s="20"/>
    </row>
    <row r="4" ht="15">
      <c r="A4" s="38"/>
    </row>
    <row r="5" ht="13.5" thickBot="1">
      <c r="A5" s="1"/>
    </row>
    <row r="6" spans="1:9" ht="12.75">
      <c r="A6" s="261" t="s">
        <v>200</v>
      </c>
      <c r="B6" s="155"/>
      <c r="C6" s="155"/>
      <c r="D6" s="155"/>
      <c r="E6" s="155"/>
      <c r="F6" s="155"/>
      <c r="G6" s="155"/>
      <c r="H6" s="155"/>
      <c r="I6" s="156"/>
    </row>
    <row r="7" spans="1:9" ht="12.75">
      <c r="A7" s="361"/>
      <c r="B7" s="20"/>
      <c r="C7" s="20"/>
      <c r="D7" s="20"/>
      <c r="E7" s="20"/>
      <c r="F7" s="20"/>
      <c r="G7" s="20"/>
      <c r="H7" s="20"/>
      <c r="I7" s="157"/>
    </row>
    <row r="8" spans="1:9" ht="36">
      <c r="A8" s="265" t="s">
        <v>328</v>
      </c>
      <c r="B8" s="41" t="s">
        <v>201</v>
      </c>
      <c r="C8" s="41" t="s">
        <v>85</v>
      </c>
      <c r="D8" s="19"/>
      <c r="E8" s="19"/>
      <c r="F8" s="20"/>
      <c r="G8" s="135"/>
      <c r="H8" s="20"/>
      <c r="I8" s="157"/>
    </row>
    <row r="9" spans="1:9" ht="12.75">
      <c r="A9" s="266">
        <v>2001</v>
      </c>
      <c r="B9" s="441">
        <v>3</v>
      </c>
      <c r="C9" s="343"/>
      <c r="D9" s="19"/>
      <c r="E9" s="19"/>
      <c r="F9" s="20"/>
      <c r="G9" s="135"/>
      <c r="H9" s="20"/>
      <c r="I9" s="157"/>
    </row>
    <row r="10" spans="1:9" ht="12.75">
      <c r="A10" s="266">
        <v>2002</v>
      </c>
      <c r="B10" s="441">
        <v>6</v>
      </c>
      <c r="C10" s="343"/>
      <c r="D10" s="19"/>
      <c r="E10" s="19"/>
      <c r="F10" s="20"/>
      <c r="G10" s="135"/>
      <c r="H10" s="20"/>
      <c r="I10" s="157"/>
    </row>
    <row r="11" spans="1:9" ht="12.75">
      <c r="A11" s="266">
        <v>2003</v>
      </c>
      <c r="B11" s="441">
        <v>1</v>
      </c>
      <c r="C11" s="343"/>
      <c r="D11" s="19"/>
      <c r="E11" s="19"/>
      <c r="F11" s="20"/>
      <c r="G11" s="135"/>
      <c r="H11" s="20"/>
      <c r="I11" s="157"/>
    </row>
    <row r="12" spans="1:9" ht="12.75">
      <c r="A12" s="266">
        <v>2004</v>
      </c>
      <c r="B12" s="441">
        <v>1</v>
      </c>
      <c r="C12" s="343"/>
      <c r="D12" s="19"/>
      <c r="E12" s="19"/>
      <c r="F12" s="20"/>
      <c r="G12" s="135"/>
      <c r="H12" s="20"/>
      <c r="I12" s="157"/>
    </row>
    <row r="13" spans="1:9" ht="12.75">
      <c r="A13" s="266" t="s">
        <v>367</v>
      </c>
      <c r="B13" s="441">
        <v>1.35</v>
      </c>
      <c r="C13" s="344">
        <f>AVERAGE(B9:B13)</f>
        <v>2.4699999999999998</v>
      </c>
      <c r="D13" s="19"/>
      <c r="E13" s="19"/>
      <c r="F13" s="20"/>
      <c r="G13" s="135"/>
      <c r="H13" s="20"/>
      <c r="I13" s="157"/>
    </row>
    <row r="14" spans="1:9" ht="12.75">
      <c r="A14" s="266" t="s">
        <v>333</v>
      </c>
      <c r="B14" s="441">
        <f>SUM(C13)</f>
        <v>2.4699999999999998</v>
      </c>
      <c r="C14" s="343"/>
      <c r="D14" s="19"/>
      <c r="E14" s="19"/>
      <c r="F14" s="20"/>
      <c r="G14" s="135"/>
      <c r="H14" s="20"/>
      <c r="I14" s="157"/>
    </row>
    <row r="15" spans="1:9" ht="12.75">
      <c r="A15" s="266" t="s">
        <v>334</v>
      </c>
      <c r="B15" s="441">
        <f>SUM(C13)</f>
        <v>2.4699999999999998</v>
      </c>
      <c r="C15" s="343"/>
      <c r="D15" s="19"/>
      <c r="E15" s="19"/>
      <c r="F15" s="20"/>
      <c r="G15" s="135"/>
      <c r="H15" s="20"/>
      <c r="I15" s="157"/>
    </row>
    <row r="16" spans="1:9" ht="12.75">
      <c r="A16" s="267"/>
      <c r="B16" s="537"/>
      <c r="C16" s="537"/>
      <c r="D16" s="258"/>
      <c r="E16" s="538"/>
      <c r="F16" s="135"/>
      <c r="G16" s="135"/>
      <c r="H16" s="20"/>
      <c r="I16" s="157"/>
    </row>
    <row r="17" spans="1:9" ht="12.75">
      <c r="A17" s="545" t="s">
        <v>317</v>
      </c>
      <c r="B17" s="258"/>
      <c r="C17" s="258"/>
      <c r="D17" s="258"/>
      <c r="E17" s="258"/>
      <c r="F17" s="135"/>
      <c r="G17" s="135"/>
      <c r="H17" s="20"/>
      <c r="I17" s="157"/>
    </row>
    <row r="18" spans="1:9" ht="12.75">
      <c r="A18" s="546" t="s">
        <v>239</v>
      </c>
      <c r="B18" s="423"/>
      <c r="C18" s="423"/>
      <c r="D18" s="423"/>
      <c r="E18" s="423"/>
      <c r="F18" s="133"/>
      <c r="G18" s="133"/>
      <c r="H18" s="133"/>
      <c r="I18" s="162"/>
    </row>
    <row r="19" spans="1:9" ht="12.75">
      <c r="A19" s="546" t="s">
        <v>369</v>
      </c>
      <c r="B19" s="423"/>
      <c r="C19" s="423"/>
      <c r="D19" s="423"/>
      <c r="E19" s="423"/>
      <c r="F19" s="133"/>
      <c r="G19" s="133"/>
      <c r="H19" s="133"/>
      <c r="I19" s="157"/>
    </row>
    <row r="20" spans="1:9" ht="13.5" thickBot="1">
      <c r="A20" s="948" t="s">
        <v>202</v>
      </c>
      <c r="B20" s="949"/>
      <c r="C20" s="949"/>
      <c r="D20" s="949"/>
      <c r="E20" s="949"/>
      <c r="F20" s="547"/>
      <c r="G20" s="421"/>
      <c r="H20" s="187"/>
      <c r="I20" s="188"/>
    </row>
    <row r="23" ht="13.5" thickBot="1"/>
    <row r="24" spans="1:9" ht="12.75">
      <c r="A24" s="271" t="s">
        <v>203</v>
      </c>
      <c r="B24" s="155"/>
      <c r="C24" s="155"/>
      <c r="D24" s="155"/>
      <c r="E24" s="155"/>
      <c r="F24" s="155"/>
      <c r="G24" s="155"/>
      <c r="H24" s="155"/>
      <c r="I24" s="156"/>
    </row>
    <row r="25" spans="1:9" ht="12.75">
      <c r="A25" s="287"/>
      <c r="B25" s="127"/>
      <c r="C25" s="127"/>
      <c r="D25" s="127"/>
      <c r="E25" s="127"/>
      <c r="F25" s="120"/>
      <c r="G25" s="120"/>
      <c r="H25" s="127"/>
      <c r="I25" s="264"/>
    </row>
    <row r="26" spans="1:9" ht="12.75">
      <c r="A26" s="278" t="s">
        <v>350</v>
      </c>
      <c r="B26" s="57" t="s">
        <v>88</v>
      </c>
      <c r="C26" s="49" t="s">
        <v>89</v>
      </c>
      <c r="D26" s="49" t="s">
        <v>90</v>
      </c>
      <c r="E26" s="57" t="s">
        <v>400</v>
      </c>
      <c r="F26" s="279"/>
      <c r="G26" s="279"/>
      <c r="H26" s="127"/>
      <c r="I26" s="264"/>
    </row>
    <row r="27" spans="1:9" ht="12.75">
      <c r="A27" s="281"/>
      <c r="B27" s="57" t="s">
        <v>401</v>
      </c>
      <c r="C27" s="49" t="s">
        <v>371</v>
      </c>
      <c r="D27" s="49" t="s">
        <v>91</v>
      </c>
      <c r="E27" s="49" t="s">
        <v>92</v>
      </c>
      <c r="F27" s="279"/>
      <c r="G27" s="279"/>
      <c r="H27" s="127"/>
      <c r="I27" s="264"/>
    </row>
    <row r="28" spans="1:9" ht="12.75">
      <c r="A28" s="282" t="s">
        <v>370</v>
      </c>
      <c r="B28" s="455">
        <v>71</v>
      </c>
      <c r="C28" s="455">
        <v>11</v>
      </c>
      <c r="D28" s="455">
        <v>4</v>
      </c>
      <c r="E28" s="455">
        <v>56</v>
      </c>
      <c r="F28" s="283"/>
      <c r="G28" s="283"/>
      <c r="H28" s="127"/>
      <c r="I28" s="264"/>
    </row>
    <row r="29" spans="1:9" ht="12.75">
      <c r="A29" s="284" t="s">
        <v>387</v>
      </c>
      <c r="B29" s="455">
        <f>SUM(B28+B14)</f>
        <v>73.47</v>
      </c>
      <c r="C29" s="455">
        <f>SUM((1-B143)*C28+B14)</f>
        <v>2.4699999999999998</v>
      </c>
      <c r="D29" s="455">
        <f>SUM(B29-C29-E29)</f>
        <v>2.9879879879879923</v>
      </c>
      <c r="E29" s="455">
        <f>SUM(1/B142*D28+E28)</f>
        <v>68.01201201201201</v>
      </c>
      <c r="F29" s="285"/>
      <c r="G29" s="285"/>
      <c r="H29" s="127"/>
      <c r="I29" s="264"/>
    </row>
    <row r="30" spans="1:9" ht="12.75">
      <c r="A30" s="284" t="s">
        <v>388</v>
      </c>
      <c r="B30" s="455">
        <f>SUM(B29+B15)</f>
        <v>75.94</v>
      </c>
      <c r="C30" s="455">
        <f>SUM((1-B143)*C29+B15)</f>
        <v>2.4699999999999998</v>
      </c>
      <c r="D30" s="455">
        <f>SUM(B30-C30-E30)</f>
        <v>0.46999999999999886</v>
      </c>
      <c r="E30" s="455">
        <v>73</v>
      </c>
      <c r="F30" s="62"/>
      <c r="G30" s="62"/>
      <c r="H30" s="127"/>
      <c r="I30" s="264"/>
    </row>
    <row r="31" spans="1:9" ht="12.75">
      <c r="A31" s="284"/>
      <c r="B31" s="539"/>
      <c r="C31" s="539"/>
      <c r="D31" s="539"/>
      <c r="E31" s="539"/>
      <c r="F31" s="50"/>
      <c r="G31" s="50"/>
      <c r="H31" s="127"/>
      <c r="I31" s="264"/>
    </row>
    <row r="32" spans="1:9" ht="12.75">
      <c r="A32" s="286" t="s">
        <v>330</v>
      </c>
      <c r="B32" s="50"/>
      <c r="C32" s="50"/>
      <c r="D32" s="50"/>
      <c r="E32" s="50"/>
      <c r="F32" s="50"/>
      <c r="G32" s="50"/>
      <c r="H32" s="127"/>
      <c r="I32" s="264"/>
    </row>
    <row r="33" spans="1:9" ht="12.75">
      <c r="A33" s="287" t="s">
        <v>204</v>
      </c>
      <c r="B33" s="50"/>
      <c r="C33" s="50"/>
      <c r="D33" s="50"/>
      <c r="E33" s="50"/>
      <c r="F33" s="50"/>
      <c r="G33" s="50"/>
      <c r="H33" s="127"/>
      <c r="I33" s="264"/>
    </row>
    <row r="34" spans="1:9" ht="12.75">
      <c r="A34" s="287" t="s">
        <v>391</v>
      </c>
      <c r="B34" s="50"/>
      <c r="C34" s="50"/>
      <c r="D34" s="50"/>
      <c r="E34" s="50"/>
      <c r="F34" s="50"/>
      <c r="G34" s="50"/>
      <c r="H34" s="127"/>
      <c r="I34" s="264"/>
    </row>
    <row r="35" spans="1:9" ht="12.75">
      <c r="A35" s="887" t="s">
        <v>205</v>
      </c>
      <c r="B35" s="823"/>
      <c r="C35" s="823"/>
      <c r="D35" s="823"/>
      <c r="E35" s="823"/>
      <c r="F35" s="50"/>
      <c r="G35" s="50"/>
      <c r="H35" s="127"/>
      <c r="I35" s="264"/>
    </row>
    <row r="36" spans="1:9" ht="13.5" thickBot="1">
      <c r="A36" s="474" t="s">
        <v>206</v>
      </c>
      <c r="B36" s="363"/>
      <c r="C36" s="363"/>
      <c r="D36" s="363"/>
      <c r="E36" s="363"/>
      <c r="F36" s="363"/>
      <c r="G36" s="363"/>
      <c r="H36" s="475"/>
      <c r="I36" s="476"/>
    </row>
    <row r="37" spans="1:9" ht="12.75">
      <c r="A37" s="30"/>
      <c r="B37" s="30"/>
      <c r="C37" s="30"/>
      <c r="D37" s="30"/>
      <c r="E37" s="30"/>
      <c r="F37" s="30"/>
      <c r="G37" s="30"/>
      <c r="H37" s="30"/>
      <c r="I37" s="30"/>
    </row>
    <row r="38" spans="1:9" ht="13.5" thickBot="1">
      <c r="A38" s="30"/>
      <c r="B38" s="30"/>
      <c r="C38" s="30"/>
      <c r="D38" s="30"/>
      <c r="E38" s="30"/>
      <c r="F38" s="714" t="s">
        <v>364</v>
      </c>
      <c r="G38" s="30"/>
      <c r="H38" s="30"/>
      <c r="I38" s="30"/>
    </row>
    <row r="39" spans="1:9" ht="12.75">
      <c r="A39" s="261" t="s">
        <v>207</v>
      </c>
      <c r="B39" s="155"/>
      <c r="C39" s="155"/>
      <c r="D39" s="155"/>
      <c r="E39" s="155"/>
      <c r="F39" s="155"/>
      <c r="G39" s="155"/>
      <c r="H39" s="155"/>
      <c r="I39" s="156"/>
    </row>
    <row r="40" spans="1:9" ht="12.75">
      <c r="A40" s="361"/>
      <c r="B40" s="20"/>
      <c r="C40" s="20"/>
      <c r="D40" s="20"/>
      <c r="E40" s="20"/>
      <c r="F40" s="20"/>
      <c r="G40" s="20"/>
      <c r="H40" s="20"/>
      <c r="I40" s="157"/>
    </row>
    <row r="41" spans="1:9" ht="48">
      <c r="A41" s="265" t="s">
        <v>328</v>
      </c>
      <c r="B41" s="41" t="s">
        <v>246</v>
      </c>
      <c r="C41" s="41" t="s">
        <v>329</v>
      </c>
      <c r="D41" s="41" t="s">
        <v>247</v>
      </c>
      <c r="E41" s="41" t="s">
        <v>208</v>
      </c>
      <c r="F41" s="41" t="s">
        <v>248</v>
      </c>
      <c r="G41" s="20"/>
      <c r="H41" s="20"/>
      <c r="I41" s="157"/>
    </row>
    <row r="42" spans="1:9" ht="12.75">
      <c r="A42" s="265"/>
      <c r="B42" s="41"/>
      <c r="C42" s="41"/>
      <c r="D42" s="41"/>
      <c r="E42" s="41"/>
      <c r="F42" s="41"/>
      <c r="G42" s="20"/>
      <c r="H42" s="20"/>
      <c r="I42" s="157"/>
    </row>
    <row r="43" spans="1:9" ht="12.75">
      <c r="A43" s="291">
        <v>2008</v>
      </c>
      <c r="B43" s="53">
        <f>SUM(B30+C43)</f>
        <v>78.41</v>
      </c>
      <c r="C43" s="53">
        <f>SUM(C13)</f>
        <v>2.4699999999999998</v>
      </c>
      <c r="D43" s="241">
        <f>SUM((C30)*(1-B143)+C43)</f>
        <v>2.4699999999999998</v>
      </c>
      <c r="E43" s="53">
        <f>SUM(C30)</f>
        <v>2.4699999999999998</v>
      </c>
      <c r="F43" s="53">
        <f>SUM(C30+E30)</f>
        <v>75.47</v>
      </c>
      <c r="G43" s="20"/>
      <c r="H43" s="20"/>
      <c r="I43" s="157"/>
    </row>
    <row r="44" spans="1:9" ht="12.75">
      <c r="A44" s="291">
        <v>2009</v>
      </c>
      <c r="B44" s="53">
        <f aca="true" t="shared" si="0" ref="B44:B65">SUM(B43+C44)</f>
        <v>80.88</v>
      </c>
      <c r="C44" s="53">
        <f>SUM(C13)</f>
        <v>2.4699999999999998</v>
      </c>
      <c r="D44" s="241">
        <f>SUM(D43*(1-B143)+C44)</f>
        <v>2.4699999999999998</v>
      </c>
      <c r="E44" s="53">
        <f>SUM(C43)</f>
        <v>2.4699999999999998</v>
      </c>
      <c r="F44" s="53">
        <f>SUM(E44+F43)</f>
        <v>77.94</v>
      </c>
      <c r="G44" s="20"/>
      <c r="H44" s="20"/>
      <c r="I44" s="157"/>
    </row>
    <row r="45" spans="1:9" ht="12.75">
      <c r="A45" s="291">
        <v>2010</v>
      </c>
      <c r="B45" s="53">
        <f t="shared" si="0"/>
        <v>83.35</v>
      </c>
      <c r="C45" s="53">
        <f>SUM(C13)</f>
        <v>2.4699999999999998</v>
      </c>
      <c r="D45" s="241">
        <f>SUM(D44*(1-B143)+C45)</f>
        <v>2.4699999999999998</v>
      </c>
      <c r="E45" s="53">
        <f aca="true" t="shared" si="1" ref="E45:E65">SUM(C44)</f>
        <v>2.4699999999999998</v>
      </c>
      <c r="F45" s="53">
        <f>SUM(E45+F44)</f>
        <v>80.41</v>
      </c>
      <c r="G45" s="20"/>
      <c r="H45" s="20"/>
      <c r="I45" s="157"/>
    </row>
    <row r="46" spans="1:9" ht="12.75">
      <c r="A46" s="291">
        <v>2011</v>
      </c>
      <c r="B46" s="53">
        <f t="shared" si="0"/>
        <v>85.82</v>
      </c>
      <c r="C46" s="53">
        <f>SUM(C13)</f>
        <v>2.4699999999999998</v>
      </c>
      <c r="D46" s="241">
        <f>SUM(D45*(1-B143)+C46)</f>
        <v>2.4699999999999998</v>
      </c>
      <c r="E46" s="53">
        <f t="shared" si="1"/>
        <v>2.4699999999999998</v>
      </c>
      <c r="F46" s="53">
        <f aca="true" t="shared" si="2" ref="F46:F65">SUM(E46+F45)</f>
        <v>82.88</v>
      </c>
      <c r="G46" s="20"/>
      <c r="H46" s="548"/>
      <c r="I46" s="549"/>
    </row>
    <row r="47" spans="1:9" ht="12.75">
      <c r="A47" s="291">
        <v>2012</v>
      </c>
      <c r="B47" s="53">
        <f t="shared" si="0"/>
        <v>88.28999999999999</v>
      </c>
      <c r="C47" s="53">
        <f>SUM(C13)</f>
        <v>2.4699999999999998</v>
      </c>
      <c r="D47" s="241">
        <f>SUM(D46*(1-B143)+C47)</f>
        <v>2.4699999999999998</v>
      </c>
      <c r="E47" s="53">
        <f t="shared" si="1"/>
        <v>2.4699999999999998</v>
      </c>
      <c r="F47" s="53">
        <f t="shared" si="2"/>
        <v>85.35</v>
      </c>
      <c r="G47" s="20"/>
      <c r="H47" s="548"/>
      <c r="I47" s="549"/>
    </row>
    <row r="48" spans="1:9" ht="12.75">
      <c r="A48" s="291">
        <v>2013</v>
      </c>
      <c r="B48" s="53">
        <f t="shared" si="0"/>
        <v>90.75999999999999</v>
      </c>
      <c r="C48" s="53">
        <f>SUM(C13)</f>
        <v>2.4699999999999998</v>
      </c>
      <c r="D48" s="241">
        <f>SUM(D47*(1-B143)+C48)</f>
        <v>2.4699999999999998</v>
      </c>
      <c r="E48" s="53">
        <f t="shared" si="1"/>
        <v>2.4699999999999998</v>
      </c>
      <c r="F48" s="53">
        <f t="shared" si="2"/>
        <v>87.82</v>
      </c>
      <c r="G48" s="183"/>
      <c r="H48" s="548"/>
      <c r="I48" s="549"/>
    </row>
    <row r="49" spans="1:9" ht="12.75">
      <c r="A49" s="291">
        <v>2014</v>
      </c>
      <c r="B49" s="53">
        <f t="shared" si="0"/>
        <v>93.22999999999999</v>
      </c>
      <c r="C49" s="53">
        <f>SUM(C13)</f>
        <v>2.4699999999999998</v>
      </c>
      <c r="D49" s="241">
        <f>SUM(D48*(1-B143)+C49)</f>
        <v>2.4699999999999998</v>
      </c>
      <c r="E49" s="53">
        <f t="shared" si="1"/>
        <v>2.4699999999999998</v>
      </c>
      <c r="F49" s="53">
        <f t="shared" si="2"/>
        <v>90.28999999999999</v>
      </c>
      <c r="G49" s="183"/>
      <c r="H49" s="548"/>
      <c r="I49" s="549"/>
    </row>
    <row r="50" spans="1:9" ht="12.75">
      <c r="A50" s="291">
        <v>2015</v>
      </c>
      <c r="B50" s="53">
        <f t="shared" si="0"/>
        <v>95.69999999999999</v>
      </c>
      <c r="C50" s="53">
        <f>SUM(C13)</f>
        <v>2.4699999999999998</v>
      </c>
      <c r="D50" s="241">
        <f>SUM(D49*(1-B143)+C50)</f>
        <v>2.4699999999999998</v>
      </c>
      <c r="E50" s="53">
        <f t="shared" si="1"/>
        <v>2.4699999999999998</v>
      </c>
      <c r="F50" s="53">
        <f t="shared" si="2"/>
        <v>92.75999999999999</v>
      </c>
      <c r="G50" s="550"/>
      <c r="H50" s="548"/>
      <c r="I50" s="549"/>
    </row>
    <row r="51" spans="1:9" ht="12.75">
      <c r="A51" s="291">
        <v>2016</v>
      </c>
      <c r="B51" s="53">
        <f t="shared" si="0"/>
        <v>98.16999999999999</v>
      </c>
      <c r="C51" s="53">
        <f>SUM(C13)</f>
        <v>2.4699999999999998</v>
      </c>
      <c r="D51" s="241">
        <f>SUM(D50*(1-B143)+C51)</f>
        <v>2.4699999999999998</v>
      </c>
      <c r="E51" s="53">
        <f t="shared" si="1"/>
        <v>2.4699999999999998</v>
      </c>
      <c r="F51" s="53">
        <f t="shared" si="2"/>
        <v>95.22999999999999</v>
      </c>
      <c r="G51" s="550"/>
      <c r="H51" s="548"/>
      <c r="I51" s="549"/>
    </row>
    <row r="52" spans="1:9" ht="12.75">
      <c r="A52" s="291">
        <v>2017</v>
      </c>
      <c r="B52" s="53">
        <f t="shared" si="0"/>
        <v>100.63999999999999</v>
      </c>
      <c r="C52" s="53">
        <f>SUM(C13)</f>
        <v>2.4699999999999998</v>
      </c>
      <c r="D52" s="241">
        <f>SUM(D51*(1-B143)+C52)</f>
        <v>2.4699999999999998</v>
      </c>
      <c r="E52" s="53">
        <f t="shared" si="1"/>
        <v>2.4699999999999998</v>
      </c>
      <c r="F52" s="53">
        <f t="shared" si="2"/>
        <v>97.69999999999999</v>
      </c>
      <c r="G52" s="550"/>
      <c r="H52" s="548"/>
      <c r="I52" s="549"/>
    </row>
    <row r="53" spans="1:9" ht="12.75">
      <c r="A53" s="291">
        <v>2018</v>
      </c>
      <c r="B53" s="53">
        <f t="shared" si="0"/>
        <v>103.10999999999999</v>
      </c>
      <c r="C53" s="53">
        <f>SUM(C13)</f>
        <v>2.4699999999999998</v>
      </c>
      <c r="D53" s="241">
        <f>SUM(D52*(1-B143)+C53)</f>
        <v>2.4699999999999998</v>
      </c>
      <c r="E53" s="53">
        <f t="shared" si="1"/>
        <v>2.4699999999999998</v>
      </c>
      <c r="F53" s="53">
        <f t="shared" si="2"/>
        <v>100.16999999999999</v>
      </c>
      <c r="G53" s="550"/>
      <c r="H53" s="548"/>
      <c r="I53" s="549"/>
    </row>
    <row r="54" spans="1:9" ht="12.75">
      <c r="A54" s="291">
        <v>2019</v>
      </c>
      <c r="B54" s="53">
        <f t="shared" si="0"/>
        <v>105.57999999999998</v>
      </c>
      <c r="C54" s="53">
        <f>SUM(C13)</f>
        <v>2.4699999999999998</v>
      </c>
      <c r="D54" s="241">
        <f>SUM(D53*(1-B143)+C54)</f>
        <v>2.4699999999999998</v>
      </c>
      <c r="E54" s="53">
        <f t="shared" si="1"/>
        <v>2.4699999999999998</v>
      </c>
      <c r="F54" s="53">
        <f t="shared" si="2"/>
        <v>102.63999999999999</v>
      </c>
      <c r="G54" s="551"/>
      <c r="H54" s="548"/>
      <c r="I54" s="549"/>
    </row>
    <row r="55" spans="1:9" ht="12.75">
      <c r="A55" s="291">
        <v>2020</v>
      </c>
      <c r="B55" s="53">
        <f t="shared" si="0"/>
        <v>108.04999999999998</v>
      </c>
      <c r="C55" s="53">
        <f>SUM(C13)</f>
        <v>2.4699999999999998</v>
      </c>
      <c r="D55" s="241">
        <f>SUM(D54*(1-B143)+C55)</f>
        <v>2.4699999999999998</v>
      </c>
      <c r="E55" s="53">
        <f t="shared" si="1"/>
        <v>2.4699999999999998</v>
      </c>
      <c r="F55" s="53">
        <f t="shared" si="2"/>
        <v>105.10999999999999</v>
      </c>
      <c r="G55" s="552"/>
      <c r="H55" s="548"/>
      <c r="I55" s="549"/>
    </row>
    <row r="56" spans="1:9" ht="12.75">
      <c r="A56" s="291">
        <v>2021</v>
      </c>
      <c r="B56" s="53">
        <f t="shared" si="0"/>
        <v>110.51999999999998</v>
      </c>
      <c r="C56" s="53">
        <f>SUM(C13)</f>
        <v>2.4699999999999998</v>
      </c>
      <c r="D56" s="241">
        <f>SUM(D55*(1-B143)+C56)</f>
        <v>2.4699999999999998</v>
      </c>
      <c r="E56" s="53">
        <f t="shared" si="1"/>
        <v>2.4699999999999998</v>
      </c>
      <c r="F56" s="53">
        <f t="shared" si="2"/>
        <v>107.57999999999998</v>
      </c>
      <c r="G56" s="552"/>
      <c r="H56" s="548"/>
      <c r="I56" s="549"/>
    </row>
    <row r="57" spans="1:9" ht="12.75">
      <c r="A57" s="291">
        <v>2022</v>
      </c>
      <c r="B57" s="53">
        <f t="shared" si="0"/>
        <v>112.98999999999998</v>
      </c>
      <c r="C57" s="53">
        <f>SUM(C13)</f>
        <v>2.4699999999999998</v>
      </c>
      <c r="D57" s="241">
        <f>SUM(D56*(1-B143)+C57)</f>
        <v>2.4699999999999998</v>
      </c>
      <c r="E57" s="53">
        <f t="shared" si="1"/>
        <v>2.4699999999999998</v>
      </c>
      <c r="F57" s="53">
        <f t="shared" si="2"/>
        <v>110.04999999999998</v>
      </c>
      <c r="G57" s="552"/>
      <c r="H57" s="548"/>
      <c r="I57" s="549"/>
    </row>
    <row r="58" spans="1:9" ht="12.75">
      <c r="A58" s="291">
        <v>2023</v>
      </c>
      <c r="B58" s="53">
        <f t="shared" si="0"/>
        <v>115.45999999999998</v>
      </c>
      <c r="C58" s="53">
        <f>SUM(C13)</f>
        <v>2.4699999999999998</v>
      </c>
      <c r="D58" s="241">
        <f>SUM(D57*(1-B143)+C58)</f>
        <v>2.4699999999999998</v>
      </c>
      <c r="E58" s="53">
        <f t="shared" si="1"/>
        <v>2.4699999999999998</v>
      </c>
      <c r="F58" s="53">
        <f t="shared" si="2"/>
        <v>112.51999999999998</v>
      </c>
      <c r="G58" s="552"/>
      <c r="H58" s="548"/>
      <c r="I58" s="549"/>
    </row>
    <row r="59" spans="1:9" ht="12.75">
      <c r="A59" s="291">
        <v>2024</v>
      </c>
      <c r="B59" s="53">
        <f t="shared" si="0"/>
        <v>117.92999999999998</v>
      </c>
      <c r="C59" s="53">
        <f>SUM(C13)</f>
        <v>2.4699999999999998</v>
      </c>
      <c r="D59" s="241">
        <f>SUM(D58*(1-B143)+C59)</f>
        <v>2.4699999999999998</v>
      </c>
      <c r="E59" s="53">
        <f t="shared" si="1"/>
        <v>2.4699999999999998</v>
      </c>
      <c r="F59" s="53">
        <f t="shared" si="2"/>
        <v>114.98999999999998</v>
      </c>
      <c r="G59" s="420"/>
      <c r="H59" s="548"/>
      <c r="I59" s="549"/>
    </row>
    <row r="60" spans="1:9" ht="12.75">
      <c r="A60" s="291">
        <v>2025</v>
      </c>
      <c r="B60" s="53">
        <f t="shared" si="0"/>
        <v>120.39999999999998</v>
      </c>
      <c r="C60" s="53">
        <f>SUM(C13)</f>
        <v>2.4699999999999998</v>
      </c>
      <c r="D60" s="241">
        <f>SUM(D59*(1-B143)+C60)</f>
        <v>2.4699999999999998</v>
      </c>
      <c r="E60" s="53">
        <f t="shared" si="1"/>
        <v>2.4699999999999998</v>
      </c>
      <c r="F60" s="53">
        <f t="shared" si="2"/>
        <v>117.45999999999998</v>
      </c>
      <c r="G60" s="552"/>
      <c r="H60" s="548"/>
      <c r="I60" s="549"/>
    </row>
    <row r="61" spans="1:9" ht="12.75">
      <c r="A61" s="291">
        <v>2026</v>
      </c>
      <c r="B61" s="53">
        <f t="shared" si="0"/>
        <v>122.86999999999998</v>
      </c>
      <c r="C61" s="53">
        <f>SUM(C13)</f>
        <v>2.4699999999999998</v>
      </c>
      <c r="D61" s="241">
        <f>SUM(D60*(1-B143)+C61)</f>
        <v>2.4699999999999998</v>
      </c>
      <c r="E61" s="53">
        <f t="shared" si="1"/>
        <v>2.4699999999999998</v>
      </c>
      <c r="F61" s="53">
        <f t="shared" si="2"/>
        <v>119.92999999999998</v>
      </c>
      <c r="G61" s="550"/>
      <c r="H61" s="548"/>
      <c r="I61" s="549"/>
    </row>
    <row r="62" spans="1:9" ht="12.75">
      <c r="A62" s="291">
        <v>2027</v>
      </c>
      <c r="B62" s="53">
        <f t="shared" si="0"/>
        <v>125.33999999999997</v>
      </c>
      <c r="C62" s="53">
        <f>SUM(C13)</f>
        <v>2.4699999999999998</v>
      </c>
      <c r="D62" s="241">
        <f>SUM(D61*(1-B143)+C62)</f>
        <v>2.4699999999999998</v>
      </c>
      <c r="E62" s="53">
        <f t="shared" si="1"/>
        <v>2.4699999999999998</v>
      </c>
      <c r="F62" s="53">
        <f t="shared" si="2"/>
        <v>122.39999999999998</v>
      </c>
      <c r="G62" s="550"/>
      <c r="H62" s="548"/>
      <c r="I62" s="549"/>
    </row>
    <row r="63" spans="1:9" ht="12.75">
      <c r="A63" s="291">
        <v>2028</v>
      </c>
      <c r="B63" s="53">
        <f t="shared" si="0"/>
        <v>127.80999999999997</v>
      </c>
      <c r="C63" s="53">
        <f>SUM(C13)</f>
        <v>2.4699999999999998</v>
      </c>
      <c r="D63" s="241">
        <f>SUM(D62*(1-B143)+C63)</f>
        <v>2.4699999999999998</v>
      </c>
      <c r="E63" s="53">
        <f t="shared" si="1"/>
        <v>2.4699999999999998</v>
      </c>
      <c r="F63" s="53">
        <f t="shared" si="2"/>
        <v>124.86999999999998</v>
      </c>
      <c r="G63" s="553"/>
      <c r="H63" s="548"/>
      <c r="I63" s="549"/>
    </row>
    <row r="64" spans="1:9" ht="12.75">
      <c r="A64" s="291">
        <v>2029</v>
      </c>
      <c r="B64" s="53">
        <f t="shared" si="0"/>
        <v>130.27999999999997</v>
      </c>
      <c r="C64" s="53">
        <f>SUM(C13)</f>
        <v>2.4699999999999998</v>
      </c>
      <c r="D64" s="241">
        <f>SUM(D63*(1-B143)+C64)</f>
        <v>2.4699999999999998</v>
      </c>
      <c r="E64" s="53">
        <f t="shared" si="1"/>
        <v>2.4699999999999998</v>
      </c>
      <c r="F64" s="53">
        <f t="shared" si="2"/>
        <v>127.33999999999997</v>
      </c>
      <c r="G64" s="553"/>
      <c r="H64" s="548"/>
      <c r="I64" s="549"/>
    </row>
    <row r="65" spans="1:9" ht="12.75">
      <c r="A65" s="291">
        <v>2030</v>
      </c>
      <c r="B65" s="53">
        <f t="shared" si="0"/>
        <v>132.74999999999997</v>
      </c>
      <c r="C65" s="53">
        <f>SUM(C13)</f>
        <v>2.4699999999999998</v>
      </c>
      <c r="D65" s="241">
        <f>SUM(D64*(1-B143)+C65)</f>
        <v>2.4699999999999998</v>
      </c>
      <c r="E65" s="53">
        <f t="shared" si="1"/>
        <v>2.4699999999999998</v>
      </c>
      <c r="F65" s="53">
        <f t="shared" si="2"/>
        <v>129.80999999999997</v>
      </c>
      <c r="G65" s="20"/>
      <c r="H65" s="548"/>
      <c r="I65" s="549"/>
    </row>
    <row r="66" spans="1:9" ht="12.75">
      <c r="A66" s="292" t="s">
        <v>331</v>
      </c>
      <c r="B66" s="54"/>
      <c r="C66" s="54"/>
      <c r="D66" s="54"/>
      <c r="E66" s="55"/>
      <c r="F66" s="53"/>
      <c r="G66" s="20"/>
      <c r="H66" s="548"/>
      <c r="I66" s="549"/>
    </row>
    <row r="67" spans="1:9" ht="12.75">
      <c r="A67" s="292" t="s">
        <v>332</v>
      </c>
      <c r="B67" s="54"/>
      <c r="C67" s="54"/>
      <c r="D67" s="54"/>
      <c r="E67" s="544">
        <f>AVERAGE(E43:E65)</f>
        <v>2.4699999999999993</v>
      </c>
      <c r="F67" s="53"/>
      <c r="G67" s="20"/>
      <c r="H67" s="548"/>
      <c r="I67" s="549"/>
    </row>
    <row r="68" spans="1:9" ht="12.75">
      <c r="A68" s="263"/>
      <c r="B68" s="42"/>
      <c r="C68" s="42"/>
      <c r="D68" s="42"/>
      <c r="E68" s="42"/>
      <c r="F68" s="201"/>
      <c r="G68" s="183"/>
      <c r="H68" s="548"/>
      <c r="I68" s="549"/>
    </row>
    <row r="69" spans="1:9" ht="12.75">
      <c r="A69" s="293" t="s">
        <v>317</v>
      </c>
      <c r="B69" s="42"/>
      <c r="C69" s="42"/>
      <c r="D69" s="42"/>
      <c r="E69" s="42"/>
      <c r="F69" s="201"/>
      <c r="G69" s="20"/>
      <c r="H69" s="548"/>
      <c r="I69" s="549"/>
    </row>
    <row r="70" spans="1:9" ht="12.75">
      <c r="A70" s="294" t="s">
        <v>209</v>
      </c>
      <c r="B70" s="42"/>
      <c r="C70" s="42"/>
      <c r="D70" s="42"/>
      <c r="E70" s="42"/>
      <c r="F70" s="201"/>
      <c r="G70" s="20"/>
      <c r="H70" s="548"/>
      <c r="I70" s="549"/>
    </row>
    <row r="71" spans="1:9" ht="12.75">
      <c r="A71" s="294" t="s">
        <v>210</v>
      </c>
      <c r="B71" s="42"/>
      <c r="C71" s="42"/>
      <c r="D71" s="42"/>
      <c r="E71" s="42"/>
      <c r="F71" s="201"/>
      <c r="G71" s="20"/>
      <c r="H71" s="548"/>
      <c r="I71" s="549"/>
    </row>
    <row r="72" spans="1:9" ht="13.5" thickBot="1">
      <c r="A72" s="950" t="s">
        <v>212</v>
      </c>
      <c r="B72" s="951"/>
      <c r="C72" s="951"/>
      <c r="D72" s="951"/>
      <c r="E72" s="951"/>
      <c r="F72" s="951"/>
      <c r="G72" s="163"/>
      <c r="H72" s="554"/>
      <c r="I72" s="555"/>
    </row>
    <row r="73" spans="1:9" ht="12.75">
      <c r="A73" s="242"/>
      <c r="B73" s="242"/>
      <c r="C73" s="242"/>
      <c r="D73" s="242"/>
      <c r="E73" s="242"/>
      <c r="F73" s="242"/>
      <c r="G73" s="242"/>
      <c r="H73" s="540"/>
      <c r="I73" s="540"/>
    </row>
    <row r="74" spans="1:9" ht="13.5" thickBot="1">
      <c r="A74" s="242"/>
      <c r="B74" s="242"/>
      <c r="C74" s="242"/>
      <c r="D74" s="242"/>
      <c r="E74" s="242"/>
      <c r="F74" s="714" t="s">
        <v>364</v>
      </c>
      <c r="G74" s="242"/>
      <c r="H74" s="540"/>
      <c r="I74" s="540"/>
    </row>
    <row r="75" spans="1:9" ht="12.75">
      <c r="A75" s="295" t="s">
        <v>213</v>
      </c>
      <c r="B75" s="481"/>
      <c r="C75" s="481"/>
      <c r="D75" s="481"/>
      <c r="E75" s="481"/>
      <c r="F75" s="173"/>
      <c r="G75" s="173"/>
      <c r="H75" s="155"/>
      <c r="I75" s="156"/>
    </row>
    <row r="76" spans="1:9" ht="12.75">
      <c r="A76" s="301"/>
      <c r="B76" s="62"/>
      <c r="C76" s="62"/>
      <c r="D76" s="62"/>
      <c r="E76" s="62"/>
      <c r="F76" s="62"/>
      <c r="G76" s="62"/>
      <c r="H76" s="20"/>
      <c r="I76" s="157"/>
    </row>
    <row r="77" spans="1:9" ht="12.75">
      <c r="A77" s="470" t="s">
        <v>359</v>
      </c>
      <c r="B77" s="57" t="s">
        <v>254</v>
      </c>
      <c r="C77" s="57" t="s">
        <v>214</v>
      </c>
      <c r="D77" s="57" t="s">
        <v>351</v>
      </c>
      <c r="E77" s="57" t="s">
        <v>122</v>
      </c>
      <c r="F77" s="57" t="s">
        <v>355</v>
      </c>
      <c r="G77" s="57" t="s">
        <v>119</v>
      </c>
      <c r="H77" s="58" t="s">
        <v>355</v>
      </c>
      <c r="I77" s="317" t="s">
        <v>355</v>
      </c>
    </row>
    <row r="78" spans="1:9" ht="12.75">
      <c r="A78" s="470" t="s">
        <v>215</v>
      </c>
      <c r="B78" s="57" t="s">
        <v>276</v>
      </c>
      <c r="C78" s="57" t="s">
        <v>354</v>
      </c>
      <c r="D78" s="57" t="s">
        <v>352</v>
      </c>
      <c r="E78" s="57" t="s">
        <v>28</v>
      </c>
      <c r="F78" s="57" t="s">
        <v>279</v>
      </c>
      <c r="G78" s="57" t="s">
        <v>28</v>
      </c>
      <c r="H78" s="58" t="s">
        <v>279</v>
      </c>
      <c r="I78" s="317" t="s">
        <v>8</v>
      </c>
    </row>
    <row r="79" spans="1:9" ht="12.75">
      <c r="A79" s="470"/>
      <c r="B79" s="57" t="s">
        <v>275</v>
      </c>
      <c r="C79" s="57" t="s">
        <v>358</v>
      </c>
      <c r="D79" s="120"/>
      <c r="E79" s="57" t="s">
        <v>352</v>
      </c>
      <c r="F79" s="57" t="s">
        <v>382</v>
      </c>
      <c r="G79" s="57" t="s">
        <v>352</v>
      </c>
      <c r="H79" s="58" t="s">
        <v>382</v>
      </c>
      <c r="I79" s="317" t="s">
        <v>9</v>
      </c>
    </row>
    <row r="80" spans="1:9" ht="12.75">
      <c r="A80" s="470"/>
      <c r="B80" s="57"/>
      <c r="C80" s="57" t="s">
        <v>149</v>
      </c>
      <c r="D80" s="57" t="s">
        <v>356</v>
      </c>
      <c r="E80" s="57" t="s">
        <v>381</v>
      </c>
      <c r="F80" s="57" t="s">
        <v>256</v>
      </c>
      <c r="G80" s="57" t="s">
        <v>383</v>
      </c>
      <c r="H80" s="58" t="s">
        <v>31</v>
      </c>
      <c r="I80" s="317" t="s">
        <v>150</v>
      </c>
    </row>
    <row r="81" spans="1:9" ht="12.75">
      <c r="A81" s="302"/>
      <c r="B81" s="57"/>
      <c r="C81" s="541"/>
      <c r="D81" s="541"/>
      <c r="E81" s="541"/>
      <c r="F81" s="541"/>
      <c r="G81" s="541"/>
      <c r="H81" s="245"/>
      <c r="I81" s="332"/>
    </row>
    <row r="82" spans="1:9" ht="12.75">
      <c r="A82" s="301" t="s">
        <v>216</v>
      </c>
      <c r="B82" s="60">
        <v>1</v>
      </c>
      <c r="C82" s="61">
        <f>SUM(B144)</f>
        <v>112743975.168</v>
      </c>
      <c r="D82" s="542">
        <f>SUM(B142)</f>
        <v>0.333</v>
      </c>
      <c r="E82" s="61">
        <f>C82*D82</f>
        <v>37543743.730944</v>
      </c>
      <c r="F82" s="61">
        <f>SUM(E82*Summary!D72*Summary!D76)</f>
        <v>51434928.911393285</v>
      </c>
      <c r="G82" s="306">
        <f>SUM(E82*Summary!D73)</f>
        <v>3431498.1770082815</v>
      </c>
      <c r="H82" s="61">
        <f>SUM(F82/Summary!D74)</f>
        <v>23330.519051534182</v>
      </c>
      <c r="I82" s="512">
        <f>SUM(H82/D82)</f>
        <v>70061.61877337591</v>
      </c>
    </row>
    <row r="83" spans="1:9" ht="12.75">
      <c r="A83" s="301" t="s">
        <v>217</v>
      </c>
      <c r="B83" s="60">
        <v>1</v>
      </c>
      <c r="C83" s="61">
        <f>SUM(B145)</f>
        <v>192527.28</v>
      </c>
      <c r="D83" s="542">
        <f>SUM(B142)</f>
        <v>0.333</v>
      </c>
      <c r="E83" s="61">
        <f>C83*D83</f>
        <v>64111.584240000004</v>
      </c>
      <c r="F83" s="61">
        <f>SUM(E83*Summary!D72*Summary!D76)</f>
        <v>87832.87040880001</v>
      </c>
      <c r="G83" s="306">
        <f>SUM(E83*Summary!D73)</f>
        <v>5859.798799536</v>
      </c>
      <c r="H83" s="61">
        <f>SUM(F83/Summary!D74)</f>
        <v>39.840367232811104</v>
      </c>
      <c r="I83" s="512">
        <f>SUM(H83/D83)</f>
        <v>119.64074244087418</v>
      </c>
    </row>
    <row r="84" spans="1:9" ht="12.75">
      <c r="A84" s="557" t="s">
        <v>14</v>
      </c>
      <c r="B84" s="60">
        <v>1</v>
      </c>
      <c r="C84" s="61">
        <f>SUM(B83*B146)</f>
        <v>32967</v>
      </c>
      <c r="D84" s="542">
        <f>SUM(B142)</f>
        <v>0.333</v>
      </c>
      <c r="E84" s="61">
        <f>C84*D84</f>
        <v>10978.011</v>
      </c>
      <c r="F84" s="61">
        <f>SUM(E84*Summary!D72*Summary!D76)</f>
        <v>15039.875070000002</v>
      </c>
      <c r="G84" s="306">
        <f>SUM(E84*Summary!D73)</f>
        <v>1003.3902054</v>
      </c>
      <c r="H84" s="370">
        <f>SUM(F84/Summary!D74)</f>
        <v>6.821980690549847</v>
      </c>
      <c r="I84" s="512">
        <f>SUM(H84/D84)</f>
        <v>20.48642850014969</v>
      </c>
    </row>
    <row r="85" spans="1:9" ht="12.75">
      <c r="A85" s="301"/>
      <c r="B85" s="60"/>
      <c r="C85" s="61"/>
      <c r="D85" s="542"/>
      <c r="E85" s="61"/>
      <c r="F85" s="61"/>
      <c r="G85" s="61"/>
      <c r="H85" s="120"/>
      <c r="I85" s="465"/>
    </row>
    <row r="86" spans="1:9" ht="12.75">
      <c r="A86" s="301"/>
      <c r="B86" s="60"/>
      <c r="C86" s="61"/>
      <c r="D86" s="542"/>
      <c r="E86" s="61"/>
      <c r="F86" s="61"/>
      <c r="G86" s="61"/>
      <c r="H86" s="120"/>
      <c r="I86" s="465"/>
    </row>
    <row r="87" spans="1:9" ht="12.75">
      <c r="A87" s="302"/>
      <c r="B87" s="60"/>
      <c r="C87" s="61"/>
      <c r="D87" s="543"/>
      <c r="E87" s="61"/>
      <c r="F87" s="61"/>
      <c r="G87" s="306"/>
      <c r="H87" s="120"/>
      <c r="I87" s="465"/>
    </row>
    <row r="88" spans="1:9" ht="12.75">
      <c r="A88" s="302" t="s">
        <v>218</v>
      </c>
      <c r="B88" s="57"/>
      <c r="C88" s="61">
        <f>SUM(C82:C87)</f>
        <v>112969469.448</v>
      </c>
      <c r="D88" s="542">
        <f>SUM(B142)</f>
        <v>0.333</v>
      </c>
      <c r="E88" s="61">
        <f>SUM(E82:E87)</f>
        <v>37618833.326184</v>
      </c>
      <c r="F88" s="61">
        <f>SUM(F82:F87)</f>
        <v>51537801.656872086</v>
      </c>
      <c r="G88" s="306">
        <f>SUM(G82:G87)</f>
        <v>3438361.3660132177</v>
      </c>
      <c r="H88" s="61">
        <f>SUM(H82:H87)</f>
        <v>23377.181399457542</v>
      </c>
      <c r="I88" s="512">
        <f>SUM(I82:I87)</f>
        <v>70201.74594431694</v>
      </c>
    </row>
    <row r="89" spans="1:9" ht="12.75">
      <c r="A89" s="301"/>
      <c r="B89" s="60"/>
      <c r="C89" s="60"/>
      <c r="D89" s="543"/>
      <c r="E89" s="60"/>
      <c r="F89" s="61"/>
      <c r="G89" s="60"/>
      <c r="H89" s="120"/>
      <c r="I89" s="465"/>
    </row>
    <row r="90" spans="1:9" ht="12.75">
      <c r="A90" s="558" t="s">
        <v>222</v>
      </c>
      <c r="B90" s="20"/>
      <c r="C90" s="60"/>
      <c r="D90" s="543"/>
      <c r="E90" s="60"/>
      <c r="F90" s="60"/>
      <c r="G90" s="60"/>
      <c r="H90" s="120"/>
      <c r="I90" s="465"/>
    </row>
    <row r="91" spans="1:9" ht="12.75">
      <c r="A91" s="303" t="s">
        <v>317</v>
      </c>
      <c r="B91" s="120"/>
      <c r="C91" s="120"/>
      <c r="D91" s="120"/>
      <c r="E91" s="120"/>
      <c r="F91" s="120"/>
      <c r="G91" s="120"/>
      <c r="H91" s="120"/>
      <c r="I91" s="465"/>
    </row>
    <row r="92" spans="1:9" ht="12.75">
      <c r="A92" s="301" t="s">
        <v>219</v>
      </c>
      <c r="B92" s="120"/>
      <c r="C92" s="120"/>
      <c r="D92" s="120"/>
      <c r="E92" s="120"/>
      <c r="F92" s="120"/>
      <c r="G92" s="120"/>
      <c r="H92" s="120"/>
      <c r="I92" s="465"/>
    </row>
    <row r="93" spans="1:9" ht="12.75">
      <c r="A93" s="301" t="s">
        <v>220</v>
      </c>
      <c r="B93" s="120"/>
      <c r="C93" s="120"/>
      <c r="D93" s="120"/>
      <c r="E93" s="120"/>
      <c r="F93" s="120"/>
      <c r="G93" s="120"/>
      <c r="H93" s="120"/>
      <c r="I93" s="465"/>
    </row>
    <row r="94" spans="1:9" ht="12.75">
      <c r="A94" s="301" t="s">
        <v>221</v>
      </c>
      <c r="B94" s="120"/>
      <c r="C94" s="120"/>
      <c r="D94" s="120"/>
      <c r="E94" s="120"/>
      <c r="F94" s="120"/>
      <c r="G94" s="120"/>
      <c r="H94" s="120"/>
      <c r="I94" s="465"/>
    </row>
    <row r="95" spans="1:9" ht="26.25" customHeight="1" thickBot="1">
      <c r="A95" s="945" t="s">
        <v>151</v>
      </c>
      <c r="B95" s="946"/>
      <c r="C95" s="946"/>
      <c r="D95" s="946"/>
      <c r="E95" s="946"/>
      <c r="F95" s="946"/>
      <c r="G95" s="946"/>
      <c r="H95" s="946"/>
      <c r="I95" s="947"/>
    </row>
    <row r="96" spans="1:9" ht="12.75">
      <c r="A96" s="620"/>
      <c r="B96" s="620"/>
      <c r="C96" s="620"/>
      <c r="D96" s="620"/>
      <c r="E96" s="620"/>
      <c r="F96" s="620"/>
      <c r="G96" s="620"/>
      <c r="H96" s="620"/>
      <c r="I96" s="620"/>
    </row>
    <row r="97" spans="1:9" ht="12.75">
      <c r="A97" s="22"/>
      <c r="B97" s="540"/>
      <c r="C97" s="540"/>
      <c r="D97" s="540"/>
      <c r="E97" s="540"/>
      <c r="F97" s="540"/>
      <c r="G97" s="540"/>
      <c r="H97" s="540"/>
      <c r="I97" s="540"/>
    </row>
    <row r="98" spans="1:9" ht="12.75">
      <c r="A98" s="22"/>
      <c r="B98" s="540"/>
      <c r="C98" s="540"/>
      <c r="D98" s="540"/>
      <c r="E98" s="540"/>
      <c r="F98" s="540"/>
      <c r="G98" s="540"/>
      <c r="H98" s="540"/>
      <c r="I98" s="540"/>
    </row>
    <row r="99" spans="1:9" ht="13.5" thickBot="1">
      <c r="A99" s="22"/>
      <c r="B99" s="540"/>
      <c r="C99" s="540"/>
      <c r="D99" s="540"/>
      <c r="E99" s="540"/>
      <c r="F99" s="540"/>
      <c r="G99" s="540"/>
      <c r="H99" s="540"/>
      <c r="I99" s="540"/>
    </row>
    <row r="100" spans="1:9" ht="15">
      <c r="A100" s="310" t="s">
        <v>145</v>
      </c>
      <c r="B100" s="311"/>
      <c r="C100" s="311"/>
      <c r="D100" s="311"/>
      <c r="E100" s="311"/>
      <c r="F100" s="311"/>
      <c r="G100" s="189"/>
      <c r="H100" s="312"/>
      <c r="I100" s="313"/>
    </row>
    <row r="101" spans="1:9" ht="12.75">
      <c r="A101" s="314"/>
      <c r="B101" s="28"/>
      <c r="C101" s="28"/>
      <c r="D101" s="28"/>
      <c r="E101" s="28"/>
      <c r="F101" s="28"/>
      <c r="G101" s="136"/>
      <c r="H101" s="29"/>
      <c r="I101" s="315"/>
    </row>
    <row r="102" spans="1:9" ht="12.75">
      <c r="A102" s="316" t="s">
        <v>359</v>
      </c>
      <c r="B102" s="57" t="s">
        <v>20</v>
      </c>
      <c r="C102" s="57" t="s">
        <v>377</v>
      </c>
      <c r="D102" s="57" t="s">
        <v>351</v>
      </c>
      <c r="E102" s="57" t="s">
        <v>29</v>
      </c>
      <c r="F102" s="58" t="s">
        <v>355</v>
      </c>
      <c r="G102" s="137" t="s">
        <v>27</v>
      </c>
      <c r="H102" s="58" t="s">
        <v>355</v>
      </c>
      <c r="I102" s="317" t="s">
        <v>355</v>
      </c>
    </row>
    <row r="103" spans="1:9" ht="12.75">
      <c r="A103" s="316" t="s">
        <v>44</v>
      </c>
      <c r="B103" s="57" t="s">
        <v>16</v>
      </c>
      <c r="C103" s="57" t="s">
        <v>17</v>
      </c>
      <c r="D103" s="57" t="s">
        <v>352</v>
      </c>
      <c r="E103" s="57" t="s">
        <v>28</v>
      </c>
      <c r="F103" s="58" t="s">
        <v>30</v>
      </c>
      <c r="G103" s="137" t="s">
        <v>28</v>
      </c>
      <c r="H103" s="58" t="s">
        <v>30</v>
      </c>
      <c r="I103" s="317" t="s">
        <v>8</v>
      </c>
    </row>
    <row r="104" spans="1:9" ht="12.75">
      <c r="A104" s="318"/>
      <c r="B104" s="57"/>
      <c r="C104" s="57" t="s">
        <v>358</v>
      </c>
      <c r="D104" s="57"/>
      <c r="E104" s="57" t="s">
        <v>352</v>
      </c>
      <c r="F104" s="58" t="s">
        <v>382</v>
      </c>
      <c r="G104" s="137" t="s">
        <v>352</v>
      </c>
      <c r="H104" s="58" t="s">
        <v>382</v>
      </c>
      <c r="I104" s="317" t="s">
        <v>9</v>
      </c>
    </row>
    <row r="105" spans="1:9" ht="12.75">
      <c r="A105" s="318"/>
      <c r="B105" s="57"/>
      <c r="C105" s="57" t="s">
        <v>153</v>
      </c>
      <c r="D105" s="57" t="s">
        <v>356</v>
      </c>
      <c r="E105" s="57" t="s">
        <v>19</v>
      </c>
      <c r="F105" s="58" t="s">
        <v>256</v>
      </c>
      <c r="G105" s="137" t="s">
        <v>230</v>
      </c>
      <c r="H105" s="58" t="s">
        <v>31</v>
      </c>
      <c r="I105" s="317" t="s">
        <v>152</v>
      </c>
    </row>
    <row r="106" spans="1:9" ht="24">
      <c r="A106" s="319" t="s">
        <v>15</v>
      </c>
      <c r="B106" s="60">
        <v>1</v>
      </c>
      <c r="C106" s="61">
        <f>SUM(B147)</f>
        <v>1976</v>
      </c>
      <c r="D106" s="556">
        <f>SUM(B142)</f>
        <v>0.333</v>
      </c>
      <c r="E106" s="61">
        <f>C106*D106</f>
        <v>658.008</v>
      </c>
      <c r="F106" s="61">
        <f>SUM(E106*Summary!D85)</f>
        <v>12873.268512</v>
      </c>
      <c r="G106" s="138">
        <f>SUM(E106*Summary!D87)</f>
        <v>1987.18416</v>
      </c>
      <c r="H106" s="61">
        <f>F106/Summary!D74</f>
        <v>5.839223318304289</v>
      </c>
      <c r="I106" s="320">
        <f>SUM(H106/D106)</f>
        <v>17.53520516007294</v>
      </c>
    </row>
    <row r="107" spans="1:9" ht="12.75">
      <c r="A107" s="319"/>
      <c r="B107" s="60"/>
      <c r="C107" s="61"/>
      <c r="D107" s="556"/>
      <c r="E107" s="61"/>
      <c r="F107" s="61"/>
      <c r="G107" s="138"/>
      <c r="H107" s="61"/>
      <c r="I107" s="320"/>
    </row>
    <row r="108" spans="1:9" ht="12.75">
      <c r="A108" s="319"/>
      <c r="B108" s="60"/>
      <c r="C108" s="61"/>
      <c r="D108" s="556"/>
      <c r="E108" s="61"/>
      <c r="F108" s="61"/>
      <c r="G108" s="138"/>
      <c r="H108" s="61"/>
      <c r="I108" s="320"/>
    </row>
    <row r="109" spans="1:9" ht="12.75">
      <c r="A109" s="321"/>
      <c r="B109" s="60"/>
      <c r="C109" s="61"/>
      <c r="D109" s="556"/>
      <c r="E109" s="61"/>
      <c r="F109" s="61"/>
      <c r="G109" s="138"/>
      <c r="H109" s="61"/>
      <c r="I109" s="322"/>
    </row>
    <row r="110" spans="1:9" ht="12.75">
      <c r="A110" s="323" t="s">
        <v>378</v>
      </c>
      <c r="B110" s="60"/>
      <c r="C110" s="61">
        <f aca="true" t="shared" si="3" ref="C110:I110">SUM(C106:C109)</f>
        <v>1976</v>
      </c>
      <c r="D110" s="556">
        <f t="shared" si="3"/>
        <v>0.333</v>
      </c>
      <c r="E110" s="61">
        <f t="shared" si="3"/>
        <v>658.008</v>
      </c>
      <c r="F110" s="61">
        <f t="shared" si="3"/>
        <v>12873.268512</v>
      </c>
      <c r="G110" s="138">
        <f t="shared" si="3"/>
        <v>1987.18416</v>
      </c>
      <c r="H110" s="61">
        <f t="shared" si="3"/>
        <v>5.839223318304289</v>
      </c>
      <c r="I110" s="320">
        <f t="shared" si="3"/>
        <v>17.53520516007294</v>
      </c>
    </row>
    <row r="111" spans="1:9" ht="12.75">
      <c r="A111" s="323"/>
      <c r="B111" s="60"/>
      <c r="C111" s="61"/>
      <c r="D111" s="61"/>
      <c r="E111" s="61"/>
      <c r="F111" s="61"/>
      <c r="G111" s="139"/>
      <c r="H111" s="97"/>
      <c r="I111" s="324"/>
    </row>
    <row r="112" spans="1:9" ht="25.5" customHeight="1" thickBot="1">
      <c r="A112" s="945" t="s">
        <v>151</v>
      </c>
      <c r="B112" s="946"/>
      <c r="C112" s="946"/>
      <c r="D112" s="946"/>
      <c r="E112" s="946"/>
      <c r="F112" s="946"/>
      <c r="G112" s="946"/>
      <c r="H112" s="946"/>
      <c r="I112" s="947"/>
    </row>
    <row r="113" spans="1:9" ht="12.75">
      <c r="A113" s="394"/>
      <c r="B113" s="140"/>
      <c r="C113" s="140"/>
      <c r="D113" s="140"/>
      <c r="E113" s="61"/>
      <c r="F113" s="61"/>
      <c r="G113" s="64"/>
      <c r="H113" s="97"/>
      <c r="I113" s="97"/>
    </row>
    <row r="114" spans="1:9" ht="13.5" thickBot="1">
      <c r="A114" s="22"/>
      <c r="B114" s="540"/>
      <c r="C114" s="540"/>
      <c r="D114" s="540"/>
      <c r="E114" s="540"/>
      <c r="F114" s="714" t="s">
        <v>364</v>
      </c>
      <c r="G114" s="540"/>
      <c r="H114" s="540"/>
      <c r="I114" s="540"/>
    </row>
    <row r="115" spans="1:9" ht="12.75">
      <c r="A115" s="395" t="s">
        <v>143</v>
      </c>
      <c r="B115" s="396"/>
      <c r="C115" s="397"/>
      <c r="D115" s="397"/>
      <c r="E115" s="397"/>
      <c r="F115" s="398"/>
      <c r="G115" s="173"/>
      <c r="H115" s="173"/>
      <c r="I115" s="399"/>
    </row>
    <row r="116" spans="1:9" ht="12.75">
      <c r="A116" s="400"/>
      <c r="B116" s="249"/>
      <c r="C116" s="125"/>
      <c r="D116" s="125"/>
      <c r="E116" s="125"/>
      <c r="F116" s="126"/>
      <c r="G116" s="62"/>
      <c r="H116" s="62"/>
      <c r="I116" s="335"/>
    </row>
    <row r="117" spans="1:9" ht="12.75">
      <c r="A117" s="400"/>
      <c r="B117" s="907" t="s">
        <v>68</v>
      </c>
      <c r="C117" s="832"/>
      <c r="D117" s="907" t="s">
        <v>37</v>
      </c>
      <c r="E117" s="832"/>
      <c r="F117" s="827" t="s">
        <v>35</v>
      </c>
      <c r="G117" s="832"/>
      <c r="H117" s="827" t="s">
        <v>36</v>
      </c>
      <c r="I117" s="828"/>
    </row>
    <row r="118" spans="1:9" ht="12.75">
      <c r="A118" s="400"/>
      <c r="B118" s="98" t="s">
        <v>377</v>
      </c>
      <c r="C118" s="98" t="s">
        <v>379</v>
      </c>
      <c r="D118" s="98" t="s">
        <v>377</v>
      </c>
      <c r="E118" s="98" t="s">
        <v>379</v>
      </c>
      <c r="F118" s="99" t="s">
        <v>377</v>
      </c>
      <c r="G118" s="98" t="s">
        <v>379</v>
      </c>
      <c r="H118" s="99" t="s">
        <v>377</v>
      </c>
      <c r="I118" s="401" t="s">
        <v>379</v>
      </c>
    </row>
    <row r="119" spans="1:9" ht="12.75">
      <c r="A119" s="400"/>
      <c r="B119" s="98" t="s">
        <v>351</v>
      </c>
      <c r="C119" s="98" t="s">
        <v>148</v>
      </c>
      <c r="D119" s="98" t="s">
        <v>351</v>
      </c>
      <c r="E119" s="98" t="s">
        <v>380</v>
      </c>
      <c r="F119" s="99" t="s">
        <v>351</v>
      </c>
      <c r="G119" s="98" t="s">
        <v>148</v>
      </c>
      <c r="H119" s="99" t="s">
        <v>351</v>
      </c>
      <c r="I119" s="401" t="s">
        <v>148</v>
      </c>
    </row>
    <row r="120" spans="1:9" ht="13.5" thickBot="1">
      <c r="A120" s="400"/>
      <c r="B120" s="226" t="s">
        <v>360</v>
      </c>
      <c r="C120" s="226" t="s">
        <v>381</v>
      </c>
      <c r="D120" s="226" t="s">
        <v>19</v>
      </c>
      <c r="E120" s="226" t="s">
        <v>19</v>
      </c>
      <c r="F120" s="227" t="s">
        <v>31</v>
      </c>
      <c r="G120" s="227" t="s">
        <v>31</v>
      </c>
      <c r="H120" s="228" t="s">
        <v>383</v>
      </c>
      <c r="I120" s="402" t="s">
        <v>383</v>
      </c>
    </row>
    <row r="121" spans="1:9" ht="12.75">
      <c r="A121" s="400"/>
      <c r="B121" s="98"/>
      <c r="C121" s="98"/>
      <c r="D121" s="99"/>
      <c r="E121" s="98"/>
      <c r="F121" s="250"/>
      <c r="G121" s="62"/>
      <c r="H121" s="62"/>
      <c r="I121" s="335"/>
    </row>
    <row r="122" spans="1:9" ht="12.75">
      <c r="A122" s="400" t="s">
        <v>378</v>
      </c>
      <c r="B122" s="256">
        <f>SUM(C88)</f>
        <v>112969469.448</v>
      </c>
      <c r="C122" s="125">
        <f>SUM(B122*23)</f>
        <v>2598297797.304</v>
      </c>
      <c r="D122" s="125">
        <f>SUM(C110)</f>
        <v>1976</v>
      </c>
      <c r="E122" s="125">
        <f>SUM(D122*23)</f>
        <v>45448</v>
      </c>
      <c r="F122" s="340">
        <f>SUM(I88+I110)</f>
        <v>70219.28114947701</v>
      </c>
      <c r="G122" s="125">
        <f>SUM(F122*23)</f>
        <v>1615043.4664379712</v>
      </c>
      <c r="H122" s="306">
        <f>SUM(B122*Summary!D73+D122*Summary!D87)</f>
        <v>10331377.0275472</v>
      </c>
      <c r="I122" s="306">
        <f>SUM(H122*23)</f>
        <v>237621671.63358557</v>
      </c>
    </row>
    <row r="123" spans="1:9" ht="34.5" customHeight="1">
      <c r="A123" s="952" t="s">
        <v>444</v>
      </c>
      <c r="B123" s="823"/>
      <c r="C123" s="823"/>
      <c r="D123" s="823"/>
      <c r="E123" s="823"/>
      <c r="F123" s="823"/>
      <c r="G123" s="823"/>
      <c r="H123" s="823"/>
      <c r="I123" s="824"/>
    </row>
    <row r="124" spans="1:9" ht="14.25" customHeight="1" thickBot="1">
      <c r="A124" s="953"/>
      <c r="B124" s="849"/>
      <c r="C124" s="849"/>
      <c r="D124" s="849"/>
      <c r="E124" s="849"/>
      <c r="F124" s="849"/>
      <c r="G124" s="849"/>
      <c r="H124" s="849"/>
      <c r="I124" s="850"/>
    </row>
    <row r="125" spans="1:9" ht="12.75">
      <c r="A125" s="365"/>
      <c r="B125" s="365"/>
      <c r="C125" s="365"/>
      <c r="D125" s="365"/>
      <c r="E125" s="365"/>
      <c r="F125" s="254"/>
      <c r="G125" s="254"/>
      <c r="H125" s="20"/>
      <c r="I125" s="20"/>
    </row>
    <row r="126" spans="1:9" ht="13.5" thickBot="1">
      <c r="A126" s="365"/>
      <c r="B126" s="365"/>
      <c r="C126" s="365"/>
      <c r="D126" s="365"/>
      <c r="E126" s="365"/>
      <c r="F126" s="254"/>
      <c r="G126" s="254"/>
      <c r="H126" s="20"/>
      <c r="I126" s="20"/>
    </row>
    <row r="127" spans="1:9" ht="12.75">
      <c r="A127" s="625" t="s">
        <v>144</v>
      </c>
      <c r="B127" s="626"/>
      <c r="C127" s="627"/>
      <c r="D127" s="627"/>
      <c r="E127" s="627"/>
      <c r="F127" s="628"/>
      <c r="G127" s="629"/>
      <c r="H127" s="297"/>
      <c r="I127" s="331"/>
    </row>
    <row r="128" spans="1:9" ht="12.75">
      <c r="A128" s="630"/>
      <c r="B128" s="100"/>
      <c r="C128" s="101"/>
      <c r="D128" s="101"/>
      <c r="E128" s="101"/>
      <c r="F128" s="102"/>
      <c r="G128" s="631"/>
      <c r="H128" s="29"/>
      <c r="I128" s="315"/>
    </row>
    <row r="129" spans="1:9" ht="12.75">
      <c r="A129" s="632"/>
      <c r="B129" s="907" t="s">
        <v>67</v>
      </c>
      <c r="C129" s="832"/>
      <c r="D129" s="907" t="s">
        <v>40</v>
      </c>
      <c r="E129" s="832"/>
      <c r="F129" s="827" t="s">
        <v>41</v>
      </c>
      <c r="G129" s="832"/>
      <c r="H129" s="827" t="s">
        <v>42</v>
      </c>
      <c r="I129" s="828"/>
    </row>
    <row r="130" spans="1:9" ht="12.75">
      <c r="A130" s="632"/>
      <c r="B130" s="98" t="s">
        <v>377</v>
      </c>
      <c r="C130" s="98" t="s">
        <v>379</v>
      </c>
      <c r="D130" s="98" t="s">
        <v>377</v>
      </c>
      <c r="E130" s="98" t="s">
        <v>379</v>
      </c>
      <c r="F130" s="99" t="s">
        <v>377</v>
      </c>
      <c r="G130" s="98" t="s">
        <v>379</v>
      </c>
      <c r="H130" s="99" t="s">
        <v>377</v>
      </c>
      <c r="I130" s="401" t="s">
        <v>379</v>
      </c>
    </row>
    <row r="131" spans="1:9" ht="12.75">
      <c r="A131" s="632"/>
      <c r="B131" s="98" t="s">
        <v>351</v>
      </c>
      <c r="C131" s="98" t="s">
        <v>380</v>
      </c>
      <c r="D131" s="98" t="s">
        <v>351</v>
      </c>
      <c r="E131" s="98" t="s">
        <v>380</v>
      </c>
      <c r="F131" s="99" t="s">
        <v>351</v>
      </c>
      <c r="G131" s="98" t="s">
        <v>380</v>
      </c>
      <c r="H131" s="99" t="s">
        <v>351</v>
      </c>
      <c r="I131" s="401" t="s">
        <v>380</v>
      </c>
    </row>
    <row r="132" spans="1:9" ht="12.75">
      <c r="A132" s="632"/>
      <c r="B132" s="98" t="s">
        <v>360</v>
      </c>
      <c r="C132" s="98" t="s">
        <v>381</v>
      </c>
      <c r="D132" s="98" t="s">
        <v>19</v>
      </c>
      <c r="E132" s="98" t="s">
        <v>19</v>
      </c>
      <c r="F132" s="99" t="s">
        <v>31</v>
      </c>
      <c r="G132" s="99" t="s">
        <v>31</v>
      </c>
      <c r="H132" s="502" t="s">
        <v>383</v>
      </c>
      <c r="I132" s="503" t="s">
        <v>383</v>
      </c>
    </row>
    <row r="133" spans="1:9" ht="12.75">
      <c r="A133" s="400"/>
      <c r="B133" s="125">
        <f>SUM(B122*B142*E67)</f>
        <v>92918518.31567447</v>
      </c>
      <c r="C133" s="125">
        <f>SUM(B133*23)</f>
        <v>2137125921.2605128</v>
      </c>
      <c r="D133" s="125">
        <f>SUM(D122*B142*E67)</f>
        <v>1625.2797599999997</v>
      </c>
      <c r="E133" s="125">
        <f>SUM(D133*23)</f>
        <v>37381.43447999999</v>
      </c>
      <c r="F133" s="125">
        <f>SUM(F122*B142*E67)</f>
        <v>57756.06093825633</v>
      </c>
      <c r="G133" s="125">
        <f>SUM(F133*23)</f>
        <v>1328389.4015798955</v>
      </c>
      <c r="H133" s="306">
        <f>SUM(H122*B142*E67)</f>
        <v>8497660.918927845</v>
      </c>
      <c r="I133" s="624">
        <f>SUM(I122*B142*E67)</f>
        <v>195446201.13534042</v>
      </c>
    </row>
    <row r="134" spans="1:9" ht="12.75">
      <c r="A134" s="400" t="s">
        <v>378</v>
      </c>
      <c r="B134" s="245"/>
      <c r="C134" s="245"/>
      <c r="D134" s="245"/>
      <c r="E134" s="245"/>
      <c r="F134" s="245"/>
      <c r="G134" s="245"/>
      <c r="H134" s="245"/>
      <c r="I134" s="333"/>
    </row>
    <row r="135" spans="1:9" ht="12.75">
      <c r="A135" s="633"/>
      <c r="B135" s="125"/>
      <c r="C135" s="99"/>
      <c r="D135" s="125"/>
      <c r="E135" s="125"/>
      <c r="F135" s="250"/>
      <c r="G135" s="250"/>
      <c r="I135" s="634"/>
    </row>
    <row r="136" spans="1:9" ht="13.5" thickBot="1">
      <c r="A136" s="635" t="s">
        <v>222</v>
      </c>
      <c r="B136" s="636"/>
      <c r="C136" s="636"/>
      <c r="D136" s="636"/>
      <c r="E136" s="636"/>
      <c r="F136" s="636"/>
      <c r="G136" s="636"/>
      <c r="H136" s="467"/>
      <c r="I136" s="637"/>
    </row>
    <row r="137" spans="1:9" ht="12.75">
      <c r="A137" s="248"/>
      <c r="B137" s="449"/>
      <c r="C137" s="449"/>
      <c r="D137" s="449"/>
      <c r="E137" s="449"/>
      <c r="F137" s="449"/>
      <c r="G137" s="449"/>
      <c r="H137" s="449"/>
      <c r="I137" s="21"/>
    </row>
    <row r="138" spans="1:9" ht="13.5" thickBot="1">
      <c r="A138" s="339"/>
      <c r="B138" s="449"/>
      <c r="C138" s="449"/>
      <c r="D138" s="449"/>
      <c r="E138" s="449"/>
      <c r="F138" s="714" t="s">
        <v>364</v>
      </c>
      <c r="G138" s="449"/>
      <c r="H138" s="449"/>
      <c r="I138" s="21"/>
    </row>
    <row r="139" spans="1:9" ht="15.75" thickTop="1">
      <c r="A139" s="934" t="s">
        <v>441</v>
      </c>
      <c r="B139" s="935"/>
      <c r="C139" s="935"/>
      <c r="D139" s="935"/>
      <c r="E139" s="935"/>
      <c r="F139" s="935"/>
      <c r="G139" s="935"/>
      <c r="H139" s="935"/>
      <c r="I139" s="936"/>
    </row>
    <row r="140" spans="1:9" ht="27" customHeight="1">
      <c r="A140" s="638" t="s">
        <v>442</v>
      </c>
      <c r="B140" s="639" t="s">
        <v>302</v>
      </c>
      <c r="C140" s="944" t="s">
        <v>303</v>
      </c>
      <c r="D140" s="773"/>
      <c r="E140" s="773"/>
      <c r="F140" s="773"/>
      <c r="G140" s="773"/>
      <c r="H140" s="773"/>
      <c r="I140" s="938"/>
    </row>
    <row r="141" spans="1:9" ht="63.75">
      <c r="A141" s="487" t="s">
        <v>223</v>
      </c>
      <c r="B141" s="488">
        <f>SUM(C13)</f>
        <v>2.4699999999999998</v>
      </c>
      <c r="C141" s="937" t="s">
        <v>107</v>
      </c>
      <c r="D141" s="937"/>
      <c r="E141" s="937"/>
      <c r="F141" s="773"/>
      <c r="G141" s="773"/>
      <c r="H141" s="773"/>
      <c r="I141" s="938"/>
    </row>
    <row r="142" spans="1:9" ht="38.25">
      <c r="A142" s="487" t="s">
        <v>224</v>
      </c>
      <c r="B142" s="460">
        <v>0.333</v>
      </c>
      <c r="C142" s="937" t="s">
        <v>225</v>
      </c>
      <c r="D142" s="937"/>
      <c r="E142" s="937"/>
      <c r="F142" s="773"/>
      <c r="G142" s="773"/>
      <c r="H142" s="773"/>
      <c r="I142" s="938"/>
    </row>
    <row r="143" spans="1:9" ht="76.5">
      <c r="A143" s="489" t="s">
        <v>226</v>
      </c>
      <c r="B143" s="460">
        <v>1</v>
      </c>
      <c r="C143" s="958" t="s">
        <v>227</v>
      </c>
      <c r="D143" s="958"/>
      <c r="E143" s="958"/>
      <c r="F143" s="773"/>
      <c r="G143" s="773"/>
      <c r="H143" s="773"/>
      <c r="I143" s="938"/>
    </row>
    <row r="144" spans="1:9" ht="38.25">
      <c r="A144" s="489" t="s">
        <v>228</v>
      </c>
      <c r="B144" s="641">
        <f>SUM(102597120*Summary!D75)</f>
        <v>112743975.168</v>
      </c>
      <c r="C144" s="937" t="s">
        <v>443</v>
      </c>
      <c r="D144" s="773"/>
      <c r="E144" s="773"/>
      <c r="F144" s="773"/>
      <c r="G144" s="773"/>
      <c r="H144" s="773"/>
      <c r="I144" s="938"/>
    </row>
    <row r="145" spans="1:9" ht="38.25">
      <c r="A145" s="640" t="s">
        <v>229</v>
      </c>
      <c r="B145" s="641">
        <f>SUM(175200*Summary!D75)</f>
        <v>192527.28</v>
      </c>
      <c r="C145" s="961" t="s">
        <v>431</v>
      </c>
      <c r="D145" s="959"/>
      <c r="E145" s="959"/>
      <c r="F145" s="959"/>
      <c r="G145" s="959"/>
      <c r="H145" s="959"/>
      <c r="I145" s="960"/>
    </row>
    <row r="146" spans="1:9" ht="38.25">
      <c r="A146" s="621" t="s">
        <v>57</v>
      </c>
      <c r="B146" s="645">
        <f>SUM(30000*Summary!D75)</f>
        <v>32967</v>
      </c>
      <c r="C146" s="931" t="s">
        <v>426</v>
      </c>
      <c r="D146" s="932"/>
      <c r="E146" s="932"/>
      <c r="F146" s="932"/>
      <c r="G146" s="959"/>
      <c r="H146" s="959"/>
      <c r="I146" s="960"/>
    </row>
    <row r="147" spans="1:9" ht="39" thickBot="1">
      <c r="A147" s="642" t="s">
        <v>195</v>
      </c>
      <c r="B147" s="643">
        <v>1976</v>
      </c>
      <c r="C147" s="954" t="s">
        <v>267</v>
      </c>
      <c r="D147" s="955"/>
      <c r="E147" s="955"/>
      <c r="F147" s="955"/>
      <c r="G147" s="956"/>
      <c r="H147" s="956"/>
      <c r="I147" s="957"/>
    </row>
    <row r="148" ht="13.5" thickTop="1"/>
    <row r="150" ht="12.75">
      <c r="F150" s="714" t="s">
        <v>364</v>
      </c>
    </row>
  </sheetData>
  <mergeCells count="25">
    <mergeCell ref="C147:I147"/>
    <mergeCell ref="C142:I142"/>
    <mergeCell ref="C143:I143"/>
    <mergeCell ref="C144:I144"/>
    <mergeCell ref="C146:I146"/>
    <mergeCell ref="C145:I145"/>
    <mergeCell ref="A35:E35"/>
    <mergeCell ref="A72:F72"/>
    <mergeCell ref="H117:I117"/>
    <mergeCell ref="B129:C129"/>
    <mergeCell ref="D129:E129"/>
    <mergeCell ref="F129:G129"/>
    <mergeCell ref="H129:I129"/>
    <mergeCell ref="A123:I123"/>
    <mergeCell ref="A124:I124"/>
    <mergeCell ref="A139:I139"/>
    <mergeCell ref="C140:I140"/>
    <mergeCell ref="C141:I141"/>
    <mergeCell ref="A1:I1"/>
    <mergeCell ref="B117:C117"/>
    <mergeCell ref="D117:E117"/>
    <mergeCell ref="F117:G117"/>
    <mergeCell ref="A95:I95"/>
    <mergeCell ref="A112:I112"/>
    <mergeCell ref="A20:E20"/>
  </mergeCells>
  <printOptions/>
  <pageMargins left="0.5" right="0.5" top="0.5" bottom="0.5" header="0.25" footer="0.25"/>
  <pageSetup horizontalDpi="600" verticalDpi="600" orientation="landscape" r:id="rId1"/>
  <headerFooter alignWithMargins="0">
    <oddFooter>&amp;CPage &amp;P of &amp;N</oddFooter>
  </headerFooter>
  <rowBreaks count="3" manualBreakCount="3">
    <brk id="38" max="255" man="1"/>
    <brk id="74" max="255" man="1"/>
    <brk id="138" max="255" man="1"/>
  </rowBreaks>
  <ignoredErrors>
    <ignoredError sqref="D8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Business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dc:creator>
  <cp:keywords/>
  <dc:description/>
  <cp:lastModifiedBy>user</cp:lastModifiedBy>
  <cp:lastPrinted>2009-01-15T14:27:40Z</cp:lastPrinted>
  <dcterms:created xsi:type="dcterms:W3CDTF">2007-06-05T16:00:39Z</dcterms:created>
  <dcterms:modified xsi:type="dcterms:W3CDTF">2009-01-15T20:03:39Z</dcterms:modified>
  <cp:category/>
  <cp:version/>
  <cp:contentType/>
  <cp:contentStatus/>
</cp:coreProperties>
</file>